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4380" tabRatio="758" activeTab="2"/>
  </bookViews>
  <sheets>
    <sheet name="1 patikslintas priedas" sheetId="1" r:id="rId1"/>
    <sheet name="2 patikslintas priedas" sheetId="2" r:id="rId2"/>
    <sheet name="3 patikslintas priedas" sheetId="3" r:id="rId3"/>
    <sheet name="4 patikslintas priedas" sheetId="4" r:id="rId4"/>
  </sheets>
  <definedNames>
    <definedName name="_xlnm.Print_Titles" localSheetId="0">'1 patikslintas priedas'!$10:$10</definedName>
    <definedName name="_xlnm.Print_Titles" localSheetId="1">'2 patikslintas priedas'!$10:$10</definedName>
    <definedName name="_xlnm.Print_Titles" localSheetId="2">'3 patikslintas priedas'!$13:$13</definedName>
  </definedNames>
  <calcPr fullCalcOnLoad="1"/>
</workbook>
</file>

<file path=xl/comments3.xml><?xml version="1.0" encoding="utf-8"?>
<comments xmlns="http://schemas.openxmlformats.org/spreadsheetml/2006/main">
  <authors>
    <author>Audrone Stoskiene</author>
    <author>astoskiene</author>
  </authors>
  <commentList>
    <comment ref="E20" authorId="0">
      <text>
        <r>
          <rPr>
            <b/>
            <sz val="9"/>
            <rFont val="Tahoma"/>
            <family val="2"/>
          </rPr>
          <t>Audrone Stoskiene:</t>
        </r>
        <r>
          <rPr>
            <sz val="9"/>
            <rFont val="Tahoma"/>
            <family val="2"/>
          </rPr>
          <t xml:space="preserve">
2150 Girdziai
1600 Raudone
970 Juodaiciai</t>
        </r>
      </text>
    </comment>
    <comment ref="L92" authorId="1">
      <text>
        <r>
          <rPr>
            <b/>
            <sz val="9"/>
            <rFont val="Tahoma"/>
            <family val="2"/>
          </rPr>
          <t>astoskiene:</t>
        </r>
        <r>
          <rPr>
            <sz val="9"/>
            <rFont val="Tahoma"/>
            <family val="2"/>
          </rPr>
          <t xml:space="preserve">
be likucio 2016-12-31</t>
        </r>
      </text>
    </comment>
    <comment ref="C147" authorId="1">
      <text>
        <r>
          <rPr>
            <b/>
            <sz val="9"/>
            <rFont val="Tahoma"/>
            <family val="2"/>
          </rPr>
          <t>astoskiene:</t>
        </r>
        <r>
          <rPr>
            <sz val="9"/>
            <rFont val="Tahoma"/>
            <family val="2"/>
          </rPr>
          <t xml:space="preserve">
mityba 1400
</t>
        </r>
      </text>
    </comment>
    <comment ref="C153" authorId="1">
      <text>
        <r>
          <rPr>
            <b/>
            <sz val="9"/>
            <rFont val="Tahoma"/>
            <family val="2"/>
          </rPr>
          <t>astoskiene:</t>
        </r>
        <r>
          <rPr>
            <sz val="9"/>
            <rFont val="Tahoma"/>
            <family val="2"/>
          </rPr>
          <t xml:space="preserve">
1500 mityba</t>
        </r>
      </text>
    </comment>
    <comment ref="C157" authorId="1">
      <text>
        <r>
          <rPr>
            <b/>
            <sz val="9"/>
            <rFont val="Tahoma"/>
            <family val="2"/>
          </rPr>
          <t>astoskiene:</t>
        </r>
        <r>
          <rPr>
            <sz val="9"/>
            <rFont val="Tahoma"/>
            <family val="2"/>
          </rPr>
          <t xml:space="preserve">
1300 mityba</t>
        </r>
      </text>
    </comment>
    <comment ref="C160" authorId="1">
      <text>
        <r>
          <rPr>
            <b/>
            <sz val="9"/>
            <rFont val="Tahoma"/>
            <family val="2"/>
          </rPr>
          <t>astoskiene:</t>
        </r>
        <r>
          <rPr>
            <sz val="9"/>
            <rFont val="Tahoma"/>
            <family val="2"/>
          </rPr>
          <t xml:space="preserve">
500 mityba</t>
        </r>
      </text>
    </comment>
    <comment ref="C163" authorId="1">
      <text>
        <r>
          <rPr>
            <b/>
            <sz val="9"/>
            <rFont val="Tahoma"/>
            <family val="2"/>
          </rPr>
          <t>astoskiene:</t>
        </r>
        <r>
          <rPr>
            <sz val="9"/>
            <rFont val="Tahoma"/>
            <family val="2"/>
          </rPr>
          <t xml:space="preserve">
3800 mityba</t>
        </r>
      </text>
    </comment>
    <comment ref="C166" authorId="1">
      <text>
        <r>
          <rPr>
            <b/>
            <sz val="9"/>
            <rFont val="Tahoma"/>
            <family val="2"/>
          </rPr>
          <t>astoskiene:</t>
        </r>
        <r>
          <rPr>
            <sz val="9"/>
            <rFont val="Tahoma"/>
            <family val="2"/>
          </rPr>
          <t xml:space="preserve">
1300 mityba</t>
        </r>
      </text>
    </comment>
    <comment ref="C170" authorId="1">
      <text>
        <r>
          <rPr>
            <b/>
            <sz val="9"/>
            <rFont val="Tahoma"/>
            <family val="2"/>
          </rPr>
          <t>astoskiene:
8</t>
        </r>
        <r>
          <rPr>
            <sz val="9"/>
            <rFont val="Tahoma"/>
            <family val="2"/>
          </rPr>
          <t>00 mityba</t>
        </r>
      </text>
    </comment>
    <comment ref="C173" authorId="1">
      <text>
        <r>
          <rPr>
            <b/>
            <sz val="9"/>
            <rFont val="Tahoma"/>
            <family val="2"/>
          </rPr>
          <t>astoskiene:</t>
        </r>
        <r>
          <rPr>
            <sz val="9"/>
            <rFont val="Tahoma"/>
            <family val="2"/>
          </rPr>
          <t xml:space="preserve">
7000 mityba</t>
        </r>
      </text>
    </comment>
    <comment ref="C176" authorId="1">
      <text>
        <r>
          <rPr>
            <b/>
            <sz val="9"/>
            <rFont val="Tahoma"/>
            <family val="2"/>
          </rPr>
          <t>astoskiene:</t>
        </r>
        <r>
          <rPr>
            <sz val="9"/>
            <rFont val="Tahoma"/>
            <family val="2"/>
          </rPr>
          <t xml:space="preserve">
3500 mityba</t>
        </r>
      </text>
    </comment>
    <comment ref="L177" authorId="0">
      <text>
        <r>
          <rPr>
            <b/>
            <sz val="9"/>
            <rFont val="Tahoma"/>
            <family val="2"/>
          </rPr>
          <t>Audrone Stoskiene:</t>
        </r>
        <r>
          <rPr>
            <sz val="9"/>
            <rFont val="Tahoma"/>
            <family val="2"/>
          </rPr>
          <t xml:space="preserve">
+755 papildomai 04 men.</t>
        </r>
      </text>
    </comment>
    <comment ref="C178" authorId="1">
      <text>
        <r>
          <rPr>
            <b/>
            <sz val="9"/>
            <rFont val="Tahoma"/>
            <family val="2"/>
          </rPr>
          <t>astoskiene:</t>
        </r>
        <r>
          <rPr>
            <sz val="9"/>
            <rFont val="Tahoma"/>
            <family val="2"/>
          </rPr>
          <t xml:space="preserve">
7000 mityba</t>
        </r>
      </text>
    </comment>
    <comment ref="N233" authorId="0">
      <text>
        <r>
          <rPr>
            <b/>
            <sz val="9"/>
            <rFont val="Tahoma"/>
            <family val="2"/>
          </rPr>
          <t>Audrone Stoskiene:</t>
        </r>
        <r>
          <rPr>
            <sz val="9"/>
            <rFont val="Tahoma"/>
            <family val="2"/>
          </rPr>
          <t xml:space="preserve">
850 pakeitimas 04 men.</t>
        </r>
      </text>
    </comment>
  </commentList>
</comments>
</file>

<file path=xl/sharedStrings.xml><?xml version="1.0" encoding="utf-8"?>
<sst xmlns="http://schemas.openxmlformats.org/spreadsheetml/2006/main" count="695" uniqueCount="542">
  <si>
    <t>Iš viso</t>
  </si>
  <si>
    <t>iš jų:</t>
  </si>
  <si>
    <t>Viešvilės seniūnijai</t>
  </si>
  <si>
    <t>Veliuonos seniūnijai</t>
  </si>
  <si>
    <t>Šimkaičių seniūnijai</t>
  </si>
  <si>
    <t>Smalininkų seniūnijai</t>
  </si>
  <si>
    <t>Skirsnemunės seniūnijai</t>
  </si>
  <si>
    <t>Seredžiaus seniūnijai</t>
  </si>
  <si>
    <t>Raudonės seniūnijai</t>
  </si>
  <si>
    <t>Jurbarkų seniūnijai</t>
  </si>
  <si>
    <t>Juodaičių seniūnijai</t>
  </si>
  <si>
    <t>Girdžių seniūnijai</t>
  </si>
  <si>
    <t>Eržvilko seniūnijai</t>
  </si>
  <si>
    <t>Jurbarko rajono savivaldybės tarybos</t>
  </si>
  <si>
    <t>Jurbarko Antano Giedraičio-Giedriaus gimnazijai</t>
  </si>
  <si>
    <t>Seredžiaus senelių globos namams</t>
  </si>
  <si>
    <t>socialinės paramos išmokoms</t>
  </si>
  <si>
    <t>Jurbarko rajono viešajai bibliotekai</t>
  </si>
  <si>
    <t>Jurbarko krašto muziejui</t>
  </si>
  <si>
    <t>Jurbarko kultūros centrui</t>
  </si>
  <si>
    <t>Jurbarko r. Juodaičių pagrindinei mokyklai</t>
  </si>
  <si>
    <t>Jurbarko r. Raudonės pagrindinei mokyklai</t>
  </si>
  <si>
    <t>Jurbarko r. Vadžgirio pagrindinei mokyklai</t>
  </si>
  <si>
    <t>mobilizacijos funkcijai administruoti</t>
  </si>
  <si>
    <t>Jurbarko vaikų lopšeliui-darželiui „Nykštukas“</t>
  </si>
  <si>
    <t xml:space="preserve">Eil. Nr.  </t>
  </si>
  <si>
    <t>ilgalaikiam turtui kurti, įsigyti</t>
  </si>
  <si>
    <t>Savivaldybės biudžeto lėšos</t>
  </si>
  <si>
    <t>darbo už-mokesčio fondui</t>
  </si>
  <si>
    <t>IŠ VISO</t>
  </si>
  <si>
    <t>Rajono savivaldybės administracijai, iš jų</t>
  </si>
  <si>
    <t>Rajono savivaldybės administracijos Finansų skyriui, iš jų:</t>
  </si>
  <si>
    <t>Kūno kultūros ir sporto centro veiklai</t>
  </si>
  <si>
    <t>IŠ VISO:</t>
  </si>
  <si>
    <t>mokyklai</t>
  </si>
  <si>
    <t>darželiui</t>
  </si>
  <si>
    <t>Jurbarko r. Klausučių Stasio Santvaro pagrindinei mokyklai, iš jų:</t>
  </si>
  <si>
    <t>Jurbarko r. Skirsnemunės Jurgio Baltrušaičio pagrindinei mokyklai, iš jų:</t>
  </si>
  <si>
    <t>Jurbarko r. Smalininkų Lidijos Meškaitytės pagrindinei mokyklai, iš jų:</t>
  </si>
  <si>
    <t>Jurbarko r. Viešvilės pagrindinei mokyklai, iš jų:</t>
  </si>
  <si>
    <t>Jurbarko r. Jurbarkų darželiui-mokyklai, iš jų:</t>
  </si>
  <si>
    <t>PROGRAMAI SKIRIAMA SUMA:</t>
  </si>
  <si>
    <t>daugiabučių namų savininkų bendrijoms remti</t>
  </si>
  <si>
    <t>viešiesiems darbams organizuoti</t>
  </si>
  <si>
    <t>visuomenės sveikatinimo programoms</t>
  </si>
  <si>
    <t>kultūrinės veiklos programoms ir renginiams</t>
  </si>
  <si>
    <t>moksleivių sportui aktyvinti</t>
  </si>
  <si>
    <t>kompensacijoms už lengvatinį mokinių vežimą</t>
  </si>
  <si>
    <t>kompensacijoms už šildymą, kietąjį kurą, šaltą ir karštą vandenį</t>
  </si>
  <si>
    <t>išlaidoms už įsigytus maisto produktus</t>
  </si>
  <si>
    <t>kompensacijoms už lengvatinį socialiai remtinų asmenų vežimą</t>
  </si>
  <si>
    <t>švietimo objektų plėtrai, modernizavimui, iš jų:</t>
  </si>
  <si>
    <t>direktoriaus rezervui tvarkyti</t>
  </si>
  <si>
    <t>Jurbarko r. Šimkaičių Jono Žemaičio pagrindinei mokyklai, iš jų:</t>
  </si>
  <si>
    <t>Kūno kultūros ir sporto centrui, iš jų:</t>
  </si>
  <si>
    <t>Rajono savivaldybės administracijai, iš jų:</t>
  </si>
  <si>
    <t>Jurbarko Antano Sodeikos meno mokyklai</t>
  </si>
  <si>
    <t>Eil. Nr.</t>
  </si>
  <si>
    <t>Pajamų pavadinimas</t>
  </si>
  <si>
    <t>4.1.</t>
  </si>
  <si>
    <t>4.2.</t>
  </si>
  <si>
    <t>5.1.</t>
  </si>
  <si>
    <t>5.2.</t>
  </si>
  <si>
    <t>2.1.</t>
  </si>
  <si>
    <t>2.2.</t>
  </si>
  <si>
    <t>2.3.</t>
  </si>
  <si>
    <t>2.4.</t>
  </si>
  <si>
    <t>2.5.</t>
  </si>
  <si>
    <t>2.6.</t>
  </si>
  <si>
    <t>2.</t>
  </si>
  <si>
    <t>1.</t>
  </si>
  <si>
    <t>3.</t>
  </si>
  <si>
    <t>4.</t>
  </si>
  <si>
    <t>5.</t>
  </si>
  <si>
    <t>6.</t>
  </si>
  <si>
    <t>7.</t>
  </si>
  <si>
    <t>8.</t>
  </si>
  <si>
    <t>9.</t>
  </si>
  <si>
    <t>10.</t>
  </si>
  <si>
    <t>11.</t>
  </si>
  <si>
    <t>12.</t>
  </si>
  <si>
    <t>14.</t>
  </si>
  <si>
    <t>Asignavimų valdytojų/ programų vykdytojų pavadinimai</t>
  </si>
  <si>
    <t>2.7.</t>
  </si>
  <si>
    <t>2.8.</t>
  </si>
  <si>
    <t>2.9.</t>
  </si>
  <si>
    <t>2.10.</t>
  </si>
  <si>
    <t>2.11.</t>
  </si>
  <si>
    <t>3.1.</t>
  </si>
  <si>
    <t>6.1.</t>
  </si>
  <si>
    <t>7.1.</t>
  </si>
  <si>
    <t>7.2.</t>
  </si>
  <si>
    <t>7.3.</t>
  </si>
  <si>
    <t>8.1.</t>
  </si>
  <si>
    <t>8.2.</t>
  </si>
  <si>
    <t>8.3.</t>
  </si>
  <si>
    <t>10.1.</t>
  </si>
  <si>
    <t>10.2.</t>
  </si>
  <si>
    <t>10.3.</t>
  </si>
  <si>
    <t>11.2.</t>
  </si>
  <si>
    <t>11.3.</t>
  </si>
  <si>
    <t>12.1.</t>
  </si>
  <si>
    <t>12.2.</t>
  </si>
  <si>
    <t>12.3.</t>
  </si>
  <si>
    <t>13.1.</t>
  </si>
  <si>
    <t>34.1.</t>
  </si>
  <si>
    <t>34.2.</t>
  </si>
  <si>
    <t>47.1.</t>
  </si>
  <si>
    <t>Jurbarko rajono Eržvilko gimnazijai</t>
  </si>
  <si>
    <t>ilgalaikei socialinei globai (vaikų ir kitų asmenų apgyvendinimas specializuotose įstaigose)</t>
  </si>
  <si>
    <t>35.1.</t>
  </si>
  <si>
    <t>35.2.</t>
  </si>
  <si>
    <t>2.12.</t>
  </si>
  <si>
    <t>savivaldybės mero fondui</t>
  </si>
  <si>
    <t>2.13.</t>
  </si>
  <si>
    <t>2.14.</t>
  </si>
  <si>
    <t>Eržvilko seniūnijai bendrosioms paslaugoms</t>
  </si>
  <si>
    <t>15.</t>
  </si>
  <si>
    <t>16.</t>
  </si>
  <si>
    <t>17.</t>
  </si>
  <si>
    <t>18.</t>
  </si>
  <si>
    <t>19.</t>
  </si>
  <si>
    <t xml:space="preserve">Girdžių seniūnijai bendrosioms paslaugoms </t>
  </si>
  <si>
    <t xml:space="preserve">Juodaičių seniūnijai bendrosioms paslaugoms </t>
  </si>
  <si>
    <t xml:space="preserve">Jurbarkų seniūnijai bendrosioms paslaugoms </t>
  </si>
  <si>
    <t xml:space="preserve">Raudonės seniūnijai bendrosioms paslaugoms </t>
  </si>
  <si>
    <t xml:space="preserve">Seredžiaus seniūnijai bendrosioms paslaugoms </t>
  </si>
  <si>
    <t xml:space="preserve">Skirsnemunės seniūnijai bendrosioms paslaugoms </t>
  </si>
  <si>
    <t xml:space="preserve">Smalininkų seniūnijai bendrosioms paslaugoms </t>
  </si>
  <si>
    <t xml:space="preserve">Šimkaičių seniūnijai bendrosioms paslaugoms </t>
  </si>
  <si>
    <t xml:space="preserve">Veliuonos seniūnijai bendrosioms paslaugoms </t>
  </si>
  <si>
    <t xml:space="preserve">Viešvilės seniūnijai bendrosioms paslaugoms </t>
  </si>
  <si>
    <t xml:space="preserve">Jurbarko miesto seniūnijai bendrosioms paslaugoms </t>
  </si>
  <si>
    <t>2.15.</t>
  </si>
  <si>
    <t>2.16.</t>
  </si>
  <si>
    <t>2.17.</t>
  </si>
  <si>
    <t>2.18.</t>
  </si>
  <si>
    <t>2.19.</t>
  </si>
  <si>
    <t>2.20.</t>
  </si>
  <si>
    <t>2.21.</t>
  </si>
  <si>
    <t>2.22.</t>
  </si>
  <si>
    <t>2.23.</t>
  </si>
  <si>
    <t>7.4.</t>
  </si>
  <si>
    <t>7.5.</t>
  </si>
  <si>
    <t>7.6.</t>
  </si>
  <si>
    <t>7.7.</t>
  </si>
  <si>
    <t>7.8.</t>
  </si>
  <si>
    <t>7.9.</t>
  </si>
  <si>
    <t>7.10.</t>
  </si>
  <si>
    <t>8.4.</t>
  </si>
  <si>
    <t>8.5.</t>
  </si>
  <si>
    <t>8.6.</t>
  </si>
  <si>
    <t>8.7.</t>
  </si>
  <si>
    <t>8.8.</t>
  </si>
  <si>
    <t>8.9.</t>
  </si>
  <si>
    <t>8.10.</t>
  </si>
  <si>
    <t>8.11.</t>
  </si>
  <si>
    <t xml:space="preserve">Jurbarko rajono priešgaisrinei tarnybai </t>
  </si>
  <si>
    <t>10.4.</t>
  </si>
  <si>
    <t>Eržvilko kultūros centrui</t>
  </si>
  <si>
    <t>Klausučių kultūros centrui</t>
  </si>
  <si>
    <t>Veliuonos kultūros centrui</t>
  </si>
  <si>
    <t>Mažosios Lietuvos Jurbarko krašto kultūros centrui</t>
  </si>
  <si>
    <t>20.</t>
  </si>
  <si>
    <t>21.</t>
  </si>
  <si>
    <t>religinėms bendruomenėms remti</t>
  </si>
  <si>
    <t>22.</t>
  </si>
  <si>
    <t>23.</t>
  </si>
  <si>
    <t>24.</t>
  </si>
  <si>
    <t>25.</t>
  </si>
  <si>
    <t>26.</t>
  </si>
  <si>
    <t>27.</t>
  </si>
  <si>
    <t>28.</t>
  </si>
  <si>
    <t>29.</t>
  </si>
  <si>
    <t>30.</t>
  </si>
  <si>
    <t>31.</t>
  </si>
  <si>
    <t>32.</t>
  </si>
  <si>
    <t>33.</t>
  </si>
  <si>
    <t>34.</t>
  </si>
  <si>
    <t>35.</t>
  </si>
  <si>
    <t>36.</t>
  </si>
  <si>
    <t>37.</t>
  </si>
  <si>
    <t>38.</t>
  </si>
  <si>
    <t>39.</t>
  </si>
  <si>
    <t>40.</t>
  </si>
  <si>
    <t>41.</t>
  </si>
  <si>
    <t>42.</t>
  </si>
  <si>
    <t>43.</t>
  </si>
  <si>
    <t>44.</t>
  </si>
  <si>
    <t>45.</t>
  </si>
  <si>
    <t>47.</t>
  </si>
  <si>
    <t>48.</t>
  </si>
  <si>
    <t>VšĮ Jurbarko ligoninei</t>
  </si>
  <si>
    <t>VšĮ Jurbarko rajono PSPC</t>
  </si>
  <si>
    <t>VšĮ Eržvilko PSPC</t>
  </si>
  <si>
    <t>VšĮ Veliuonos PSPC</t>
  </si>
  <si>
    <t>Savivaldybės administracijos ir seniūnijų remonto, ilgalaikio turto įsigijimo išlaidoms</t>
  </si>
  <si>
    <t>4.3.</t>
  </si>
  <si>
    <t>melioracijos išlaidoms finansuoti</t>
  </si>
  <si>
    <t>12.4.</t>
  </si>
  <si>
    <t>13.2.</t>
  </si>
  <si>
    <t>14.1.</t>
  </si>
  <si>
    <t>mokinių užimtumo, socializacijos, prevencijos ir kitoms programoms finansuoti</t>
  </si>
  <si>
    <t>11.1.</t>
  </si>
  <si>
    <t>buitinių atliekų šalinimo išlaidoms finansuoti</t>
  </si>
  <si>
    <t>seniūnijose organizuojamiems renginiams</t>
  </si>
  <si>
    <t>Jurbarko Naujamiesčio pagrindinei mokyklai</t>
  </si>
  <si>
    <t>Jurbarko Vytauto Didžiojo pagrindinei m-klai</t>
  </si>
  <si>
    <t>Jurbarko „Ąžuoliuko“ mokyklai, iš jų:</t>
  </si>
  <si>
    <t>38.1.</t>
  </si>
  <si>
    <t>38.2.</t>
  </si>
  <si>
    <t>45.1.</t>
  </si>
  <si>
    <t>45.2.</t>
  </si>
  <si>
    <t>45.3.</t>
  </si>
  <si>
    <t>kompensacijoms už buitinių atliekų šalinimą</t>
  </si>
  <si>
    <t>civilinei saugai administruoti</t>
  </si>
  <si>
    <t>Įstaigų pajamų už teikiamas paslaugas lėšos/ vietinė rinkliava už buitinių atliekų šalinimą</t>
  </si>
  <si>
    <t>Turizmo ir verslo informacijos centro veiklos plėtrai</t>
  </si>
  <si>
    <t>vaiko ir jaunimo teisių apsaugai</t>
  </si>
  <si>
    <t>39.1.</t>
  </si>
  <si>
    <t>39.2.</t>
  </si>
  <si>
    <t>švietimo įstaigų ilgalaikiam turtui įsigyti</t>
  </si>
  <si>
    <t>3 priedas</t>
  </si>
  <si>
    <t>mokinio krepšelio lėšos (iki 7 proc. pagal mokinio krepšelio apskaičiavimo metodiką)</t>
  </si>
  <si>
    <t>eurais</t>
  </si>
  <si>
    <t>savivaldybės administracijai bendrosioms paslaugoms finansuoti</t>
  </si>
  <si>
    <t>žemės ūkio funkcijai vykdyti</t>
  </si>
  <si>
    <t>socialinėms paslaugoms asmenims su sunkia negalia administruoti</t>
  </si>
  <si>
    <t xml:space="preserve">socialinei paramai administruoti </t>
  </si>
  <si>
    <t>Jurbarko miesto seniūnijai (UAB „Jurbarko komunalininkas“ atliekamiems darbams)</t>
  </si>
  <si>
    <t>8.12.</t>
  </si>
  <si>
    <t xml:space="preserve">13. </t>
  </si>
  <si>
    <t>Jurbarko rajono savivaldybės visuomenės sveikatos biurui</t>
  </si>
  <si>
    <t>nevyriausybinėms organizacijoms remti</t>
  </si>
  <si>
    <t>14.2.</t>
  </si>
  <si>
    <t>švietimo įstaigų higienos priemonėms įsigyti</t>
  </si>
  <si>
    <t>švietimo įstaigų priešgaisrinės saugos priemonėms diegti, įsigyti</t>
  </si>
  <si>
    <t>socialinei paramai mokiniams administruoti</t>
  </si>
  <si>
    <t>būsto nuomos, išperkamosios nuomos mokesčių kompensacijoms</t>
  </si>
  <si>
    <t>išlaidoms už įsigytus mokinio reikmenis</t>
  </si>
  <si>
    <t>nemokamo maitinimo patiekalų gamybos išlaidoms</t>
  </si>
  <si>
    <t>vienkartinei socialinei paramai</t>
  </si>
  <si>
    <t>socialinei paramai mirties atveju</t>
  </si>
  <si>
    <t>seniūnijų socialiniams darbuotojams darbui su socialinės rizikos šeimomis išlaikyti</t>
  </si>
  <si>
    <t>kultūros įstaigoms remonto, ilgalaikio turto įsigijimo išlaidoms</t>
  </si>
  <si>
    <t>sutrikusio intelekto jaunuolių darbinių įgūdžių formavimui (VšĮ „Jurbarko socialinės paslaugos“)</t>
  </si>
  <si>
    <t>45.4.</t>
  </si>
  <si>
    <t>11.4.</t>
  </si>
  <si>
    <t>14.3.</t>
  </si>
  <si>
    <t>14.4.</t>
  </si>
  <si>
    <t>14.5.</t>
  </si>
  <si>
    <t>14.6.</t>
  </si>
  <si>
    <t>14.7.</t>
  </si>
  <si>
    <t>14.8.</t>
  </si>
  <si>
    <t>15.1.</t>
  </si>
  <si>
    <t>15.2.</t>
  </si>
  <si>
    <t>23.1.</t>
  </si>
  <si>
    <t>23.2.</t>
  </si>
  <si>
    <t>23.3.</t>
  </si>
  <si>
    <t>26.1.</t>
  </si>
  <si>
    <t>26.2.</t>
  </si>
  <si>
    <t>32.1.</t>
  </si>
  <si>
    <t>32.2.</t>
  </si>
  <si>
    <t>37.1.</t>
  </si>
  <si>
    <t>37.2.</t>
  </si>
  <si>
    <t>46.</t>
  </si>
  <si>
    <t>Savivaldybės kontrolės ir audito tarnybai</t>
  </si>
  <si>
    <t>savivaldos institucijoms finansuoti</t>
  </si>
  <si>
    <t>5.3.</t>
  </si>
  <si>
    <t>smulkiam ir vidutiniam verslui skatinti</t>
  </si>
  <si>
    <t>žemės sklypų formavimo ir infrastruktūros objektų projektams, kadastriniams matavimams ir kitiems teritorijų planavimo dokumentams rengti</t>
  </si>
  <si>
    <t>smulkiems infrastruktūros objektams įrengti, remontuoti, prižiūrėti</t>
  </si>
  <si>
    <t>savivaldybės turtui vertinti, kadastrinių matavimų byloms rengti ir nuosavybės teisės įteisinimui</t>
  </si>
  <si>
    <t>keleivių vežiojimo ekonomiškai nenaudingais vietinio susisiekimo maršrutais subsidijoms, viešojo tualeto eksploatacijos nuostoliams dengti</t>
  </si>
  <si>
    <t>miesto stebėjimo vaizdo kameromis paslaugoms</t>
  </si>
  <si>
    <t>gatvių apšvietimo infrastruktūros priežiūrai ir plėtrai Jurbarko mieste ir rajone</t>
  </si>
  <si>
    <t>Seniūnijų viešojo naudojimo teritorijų, kapinių, gatvių ir kelių priežiūros bei kitiems darbams, iš jų:</t>
  </si>
  <si>
    <t>10.5.</t>
  </si>
  <si>
    <t>praeityje užterštoms teritorijoms tvarkyti, kitoms aplinkos teršimo mažinimo priemonėms</t>
  </si>
  <si>
    <t>mokinių visuomenės sveikatos priežiūrai ugdymo įstaigose organizuoti</t>
  </si>
  <si>
    <t>visuomenės sveikatos stiprinimui ir stebėsenai</t>
  </si>
  <si>
    <t>aplinkai ir žmogaus sveikatai pavojingiems želdynams šalinti</t>
  </si>
  <si>
    <t>ekologinio švietimo ir informavimo priemonėms</t>
  </si>
  <si>
    <t>savivaldybės biudžete nenumatytoms išlaidoms finansuoti, įvairių institucijų programoms, projektams, renginiams remti</t>
  </si>
  <si>
    <t>programoms, skirtoms etninės kultūros sklaidai, vykdyti</t>
  </si>
  <si>
    <t>nekilnojamųjų kultūros vertybių apskaitai, kultūros paveldo objektų tvarkybai, renginiams</t>
  </si>
  <si>
    <t>15.3.</t>
  </si>
  <si>
    <t>Jurbarko kultūros centro pastatui modernizuoti ir pritaikyti bendruomenės poreikiams</t>
  </si>
  <si>
    <t>Jurbarko r. Seredžiaus Stasio Šimkaus mokyklai-daugiafunkciam centrui</t>
  </si>
  <si>
    <t>švietimo įstaigų pastatams remontuoti ir avarinėms situacijoms likviduoti</t>
  </si>
  <si>
    <t>laikinai negyvenamų, neišnuomotų savivaldybės patalpų, labdaros valgyklos komunalinėms paslaugoms dengti</t>
  </si>
  <si>
    <t>asmens higienos ir laikino apgyvendinimo nakvynės namuose paslaugoms (VšĮ „Jurbarko socialinės paslaugos“)</t>
  </si>
  <si>
    <t>neatpažintų palaikų pervežimo išlaidoms dengti</t>
  </si>
  <si>
    <t>ilgalaikei socialinei globai sutrikusio intelekto jaunuoliams (VšĮ „Jurbarko socialinės paslaugos“)</t>
  </si>
  <si>
    <t>pagalbos į namus paslaugoms teikti (VšĮ „Jurbarko socialinės paslaugos“)</t>
  </si>
  <si>
    <t>laikinoms socialiai remtinų asmenų globos paslaugoms VšĮ Jurbarko ligoninėje</t>
  </si>
  <si>
    <t>socialinės globos paslaugoms teikti asmenims su sunkia negalia</t>
  </si>
  <si>
    <t>maitinimui  labdaros valgykloje organizuoti (Lietuvos samariečių Jurbarko krašto bendrija)</t>
  </si>
  <si>
    <t>socialinės reabilitacijos paslaugų neįgaliesiems ir socialinės integracijos projektams</t>
  </si>
  <si>
    <t>socialinio būsto fondo remonto, pritaikymo, įsigijimo išlaidoms</t>
  </si>
  <si>
    <t>jaunimo užimtumui ir integracijai į vietos bendruomenės gyvenimą aktyvinti</t>
  </si>
  <si>
    <t>kaimo plėtrai ir ūkininkams remti</t>
  </si>
  <si>
    <t>Dienos socialinės globos paslaugoms asmens namuose  (VšĮ „Jurbarko socialinės paslaugos“)</t>
  </si>
  <si>
    <t>15.4.</t>
  </si>
  <si>
    <t>kolektyvų pasirengimo Dainų šventei programai</t>
  </si>
  <si>
    <t>meno saviveiklos kolektyvų koncertinėms užsienio kelionėms miestų-partnerių ir įvairių festivalių organizatorių kvietimu</t>
  </si>
  <si>
    <t>6.2.</t>
  </si>
  <si>
    <t>paslaugoms vaikus globojančiai šeimai, globėjams, įtėviams ir besirengiančiais jais tapti asmenims teikti (VšĮ „Jurbarko socialinės paslaugos“)</t>
  </si>
  <si>
    <t>projektų paraiškoms rengti, konsultavimo ir projektų ekspertizių paslaugoms, nekompensuojamoms, bet būtinoms projektų išlaidoms finansuoti, bendrojo finansavimo lėšoms</t>
  </si>
  <si>
    <t>7.11.</t>
  </si>
  <si>
    <t>palūkanoms ir kitiems mokėjimams bankams tvarkyti</t>
  </si>
  <si>
    <t>eismo saugumo priemonėms diegti</t>
  </si>
  <si>
    <t>JURBARKO RAJONO SAVIVALDYBĖS 2017 METŲ BIUDŽETAS</t>
  </si>
  <si>
    <t>33.1.</t>
  </si>
  <si>
    <t>33.2.</t>
  </si>
  <si>
    <t>VVG „Nemunas“ atrinktiems  projektams remti</t>
  </si>
  <si>
    <t>6.3.</t>
  </si>
  <si>
    <t>MVVG „Jurbarkas“ atrinktiems  projektams remti</t>
  </si>
  <si>
    <t>INFRASTRUKTŪROS OBJEKTŲ PRIEŽIŪROS, MODERNIZAVIMO IR PLĖTROS PROGRAMA (atsakingas už programos vykdymą - Infrastruktūros ir turto skyriaus vedėjas)</t>
  </si>
  <si>
    <t>investicijoms į šilumos ūkio modernizavimą Viešvilėje grąžinti (2017 m. dalis)</t>
  </si>
  <si>
    <t>pacientų aptarnavimo kokybei gerinti VšĮ Jurbarko ligoninėje (mašinų stovėjimo aikštelei)</t>
  </si>
  <si>
    <t>neveiksnių asmenų būklei peržiūrėti</t>
  </si>
  <si>
    <t>suaugusiųjų sportui aktyvinti (iš jų: 4000 Eur Jurbarko krepšinio komandai dalyvauti regionų krepšinio lygoje)</t>
  </si>
  <si>
    <t>30.1.</t>
  </si>
  <si>
    <t>30.2.</t>
  </si>
  <si>
    <t>43.1.</t>
  </si>
  <si>
    <t>43.2.</t>
  </si>
  <si>
    <t>43.3.</t>
  </si>
  <si>
    <t>43.4.</t>
  </si>
  <si>
    <t>44.1.</t>
  </si>
  <si>
    <t>44.2.</t>
  </si>
  <si>
    <t>44.3.</t>
  </si>
  <si>
    <t>44.4.</t>
  </si>
  <si>
    <t>44.5.</t>
  </si>
  <si>
    <t>44.6.</t>
  </si>
  <si>
    <t>44.7.</t>
  </si>
  <si>
    <t>Lėšos valstybinėms (perduotoms) savivaldybėms funkcijoms vykdyti/ kitos tikslinės lėšos</t>
  </si>
  <si>
    <t>43.5.</t>
  </si>
  <si>
    <t>neformaliajam vaikų švietimui finansuoti</t>
  </si>
  <si>
    <t>švietimo įstaigų sporto bazėms remontuoti</t>
  </si>
  <si>
    <t>45.5.</t>
  </si>
  <si>
    <t>45.6.</t>
  </si>
  <si>
    <t>45.7.</t>
  </si>
  <si>
    <t>45.8.</t>
  </si>
  <si>
    <t>45.9.</t>
  </si>
  <si>
    <t>45.10.</t>
  </si>
  <si>
    <t>45.11.</t>
  </si>
  <si>
    <t>45.12.</t>
  </si>
  <si>
    <t>45.13.</t>
  </si>
  <si>
    <t>45.14.</t>
  </si>
  <si>
    <t>45.15.</t>
  </si>
  <si>
    <t>45.16.</t>
  </si>
  <si>
    <t>45.17.</t>
  </si>
  <si>
    <t>45.18.</t>
  </si>
  <si>
    <t>45.19.</t>
  </si>
  <si>
    <t>45.20.</t>
  </si>
  <si>
    <t>45.21.</t>
  </si>
  <si>
    <t>45.22.</t>
  </si>
  <si>
    <t>45.23.</t>
  </si>
  <si>
    <t>45.24.</t>
  </si>
  <si>
    <t>45.25.</t>
  </si>
  <si>
    <t>45.26.</t>
  </si>
  <si>
    <t>45.27.</t>
  </si>
  <si>
    <t>45.28.</t>
  </si>
  <si>
    <t>45.29.</t>
  </si>
  <si>
    <t>48.1.</t>
  </si>
  <si>
    <t>pagalba vaikams patekusiems į krizinę situaciją    VšĮ Jurbarko ligoninėje</t>
  </si>
  <si>
    <t>parama vaikus globojančioms šeimoms</t>
  </si>
  <si>
    <t>45.30.</t>
  </si>
  <si>
    <t>45.31.</t>
  </si>
  <si>
    <t>neįgaliųjų būstui pritaikyti jų reikmėms</t>
  </si>
  <si>
    <t>užimtumo paslaugoms teikti socialiai remtiniems vaikams Dienos centruose (Lietuvos samariečių Jurbarko krašto bendrija ir evangelikų liuteronų diakonija „Jurbarko sandora“)</t>
  </si>
  <si>
    <t>lėšos ilgalaikėms paskoloms grąžinti</t>
  </si>
  <si>
    <t>reprezentaciniams leidiniams, suvenyrams įsigyti</t>
  </si>
  <si>
    <t>bendrojo naudojimo infrastruktūros objektams prižiūrėti (daugiabučių namų kiemai, automobilių stovėjimo aikštelės ir pan.)</t>
  </si>
  <si>
    <t>medžiojamų gyvūnų daromos žalos prevencinėms priemonėms vykdyti</t>
  </si>
  <si>
    <t>švietimo įstaigų išorinės aplinkos infrastruktūrai sutvarkyti ir edukacinėms erdvėms kurti</t>
  </si>
  <si>
    <t>aprūpinti nepasiturinčius rajono gyventojus maisto produktais iš ES pagalbos labiausiai skurstantiems asmenims fondo</t>
  </si>
  <si>
    <t>BENDRŲJŲ FUNKCIJŲ VYKDYMO PROGRAMA (atsakingas už programos vykdymą – Finansų skyriaus vedėjas)</t>
  </si>
  <si>
    <t>KAIMO PLĖTROS PROGRAMA (atsakingas už programos vykdymą – Žemės ūkio skyriaus vedėjas)</t>
  </si>
  <si>
    <t>SMULKAUS, VIDUTINIO VERSLO IR TURIZMO SKATINIMO PROGRAMA (atsakingas už programos vykdymą – Investicijų ir strateginio planavimo skyriaus vedėjas)</t>
  </si>
  <si>
    <t>SVEIKATOS IR APLINKOS APSAUGOS PROGRAMA (atsakingas už programos vykdymą – vyriausiasis specialistas (savivaldybės gydytojas))</t>
  </si>
  <si>
    <t>SOCIALINĖS PARAMOS PLĖTROS, SOCIALINĖS ATSKIRTIES MAŽINIMO PROGRAMA (atsakingas už programos vykdymą – Socialinės paramos skyriaus vedėjas)</t>
  </si>
  <si>
    <t>VAIKŲ, JAUNIMO IR SUAUGUSIŲJŲ UGDYMO PROGRAMA (atsakingas už programos vykdymą – Švietimo, kultūros ir sporto skyriaus vedėjas)</t>
  </si>
  <si>
    <t>KULTŪROS IR SPORTO VEIKLŲ PLĖTOS PROGRAMA (atsakingas už programos vykdymą – Švietimo, kultūros ir sporto skyriaus vedėjas)</t>
  </si>
  <si>
    <t>Jurbarko A. Giedraičio-Giedriaus gatvei rekonstruoti būtinoms, bet projekto nekompensuojamoms išlaidoms dengti</t>
  </si>
  <si>
    <t>11.5.</t>
  </si>
  <si>
    <t>Tauragės regiono atliekų tvarkymo sistemai kurti (projekto bendrajam finansavimui vykdyti)</t>
  </si>
  <si>
    <t>Rajono savivaldybės administracijos Finansų skyriui, nuompinigių grąžinimas, iš jų:</t>
  </si>
  <si>
    <t>viešosios įstaigos „Senovinės technikos muziejus“ veiklai finansuoti</t>
  </si>
  <si>
    <t>pacientų aptarnavimo kokybei gerinti viešojoje įstaigoje Jurbarko ligoninėje (mašinų stovėjimo aikštelei įrengti)</t>
  </si>
  <si>
    <t>trumpalaikės ir ilgalaikės socialinės globos paslaugoms (VšĮ „Jurbarko socialinės paslaugos“ Eržvilko filialas)</t>
  </si>
  <si>
    <t>Rajono savivaldybės administracijai (aplinkos apsaugos specialiajai programai), iš jų:</t>
  </si>
  <si>
    <t>Jurbarko r. Veliuonos Antano ir Jono Juškų gimnazijai, iš jų:</t>
  </si>
  <si>
    <t>2017 m. vasario 23 d. sprendimo Nr. T2-18</t>
  </si>
  <si>
    <t>Mokinio krepšelio lėšos/ kelių priežiūros ir plėtros programos lėšos</t>
  </si>
  <si>
    <t>7.12.</t>
  </si>
  <si>
    <t xml:space="preserve">                            Jurbarko rajono savivaldybės tarybos</t>
  </si>
  <si>
    <t xml:space="preserve">                                       2017 m. vasario 23 d. sprendimo Nr. T2-18</t>
  </si>
  <si>
    <t xml:space="preserve">            redakcija)</t>
  </si>
  <si>
    <t xml:space="preserve">            1 priedas</t>
  </si>
  <si>
    <t>JURBARKO RAJONO SAVIVALDYBĖS 2017 M. BIUDŽETO PAJAMOS</t>
  </si>
  <si>
    <t>Lėšos (Eur)</t>
  </si>
  <si>
    <t>Mokesčiai, pajamos ir rinkliavos, nurodyti 2017 metų valstybės biudžeto ir savivaldybių biudžetų finansinių rodiklių patvirtinimo įstatyme, iš jų:</t>
  </si>
  <si>
    <t>1.1.</t>
  </si>
  <si>
    <t xml:space="preserve">Gyventojų pajamų mokestis, tenkantis savivaldybės biudžetui </t>
  </si>
  <si>
    <t>1.2.</t>
  </si>
  <si>
    <t>Žemės mokestis</t>
  </si>
  <si>
    <t>1.3.</t>
  </si>
  <si>
    <t>Nekilnojamojo turto mokestis</t>
  </si>
  <si>
    <t>1.4.</t>
  </si>
  <si>
    <t>Paveldimo ir dovanojamo turto mokestis</t>
  </si>
  <si>
    <t>1.5.</t>
  </si>
  <si>
    <t>Dividendai</t>
  </si>
  <si>
    <t>1.6.</t>
  </si>
  <si>
    <t>Nuomos mokestis už valstybinę žemę ir valstybinio vidaus vandenų fondo vandens telkinius</t>
  </si>
  <si>
    <t>1.7.</t>
  </si>
  <si>
    <t>Valstybės rinkliavos</t>
  </si>
  <si>
    <t>1.8.</t>
  </si>
  <si>
    <t>Pajamos iš baudų ir konfiskacijų</t>
  </si>
  <si>
    <t>1.9.</t>
  </si>
  <si>
    <t>Kitos neišvardintos pajamos</t>
  </si>
  <si>
    <t>Kitos savivaldybės planuojamos pajamos, iš jų:</t>
  </si>
  <si>
    <t>Vietinės rinkliavos už buitinių atliekų surinkimą</t>
  </si>
  <si>
    <t>Kitos vietinės rinkliavos</t>
  </si>
  <si>
    <t>Kompensuojamos Europos Sąjungos finansinės paramos lėšos</t>
  </si>
  <si>
    <t>Materialiojo ir nematerialiojo turto realizavimo pajamos</t>
  </si>
  <si>
    <t>Mokesčiai už valstybinius gamtos išteklius (medžiojamus)</t>
  </si>
  <si>
    <t>Mokesčiai už valstybinius gamtos išteklius (išskyrus medžiojamus)</t>
  </si>
  <si>
    <t>Mokesčiai už aplinkos teršimą</t>
  </si>
  <si>
    <t>Biudžetinių įstaigų pajamos iš patalpų nuomos</t>
  </si>
  <si>
    <t>Viešųjų sveikatos priežiūros įstaigų pajamos iš patalpų nuomos</t>
  </si>
  <si>
    <t>Biudžetinių įstaigų pajamos už atsitiktines paslaugas</t>
  </si>
  <si>
    <t>Biudžetinių įstaigų pajamos už išlaikymą švietimo, socialinės apsaugos ir kitose įstaigose</t>
  </si>
  <si>
    <t>Tikslinės paskirties lėšos iš valstybės biudžeto, iš jų:</t>
  </si>
  <si>
    <t>Valstybinėms (valstybės perduotoms savivaldybėms) funkcijoms vykdyti</t>
  </si>
  <si>
    <t>3.2.</t>
  </si>
  <si>
    <t>Mokinio krepšeliui finansuoti</t>
  </si>
  <si>
    <t>3.3.</t>
  </si>
  <si>
    <t>Neformaliajam vaikų švietimui finansuoti</t>
  </si>
  <si>
    <t>3.4.</t>
  </si>
  <si>
    <t>Lėšos įstaigoms, turinčioms specialiųjų ugdymo poreikių mokinių, finansuoti</t>
  </si>
  <si>
    <t>3.5.</t>
  </si>
  <si>
    <t>Valstybės investicijų programoje numatytiems objektams finansuoti</t>
  </si>
  <si>
    <t>3.6.</t>
  </si>
  <si>
    <t>Bendrosios dotacijos kompensacija savivaldybės biudžetui</t>
  </si>
  <si>
    <t>3.7.</t>
  </si>
  <si>
    <t>Pedagoginių darbuotojų darbo apmokėjimo sąlygoms gerinti bei valstybės ir savivaldybių įstaigų darbuotojų darbo apmokėjimo įstatymui laipsniškai įgyvendinti</t>
  </si>
  <si>
    <t>3.8.</t>
  </si>
  <si>
    <t>Kelių priežiūros ir plėtros programos lėšos</t>
  </si>
  <si>
    <t xml:space="preserve">Skolinimosi pajamos </t>
  </si>
  <si>
    <t>2016-12-31 biudžeto lėšų likučiai, nukreipiami įsiskolinimams dengti, iš jų:</t>
  </si>
  <si>
    <t>trumpalaikiams įsiskolinimui dengti</t>
  </si>
  <si>
    <t>skolintoms lėšoms iš bankų grąžinti</t>
  </si>
  <si>
    <t>aplinkos apsaugos rėmimo specialiajai programai</t>
  </si>
  <si>
    <t>IŠ VISO PAJAMŲ</t>
  </si>
  <si>
    <t>________________________</t>
  </si>
  <si>
    <t xml:space="preserve">           redakcija)</t>
  </si>
  <si>
    <t xml:space="preserve">            2 priedas</t>
  </si>
  <si>
    <t>JURBARKO RAJONO SAVIVALDYBĖS 2017 M. BIUDŽETO IŠLAIDOS PAGAL PROGRAMAS</t>
  </si>
  <si>
    <t>Išlaidų pagal parengtas programas pavadinimas</t>
  </si>
  <si>
    <t>Išlaidos pagal parengtas programas iš viso, iš jų:</t>
  </si>
  <si>
    <t>bendrosioms funkcijoms vykdyti</t>
  </si>
  <si>
    <t>kaimo plėtrai</t>
  </si>
  <si>
    <t>smulkiajam, vidutiniam verslui ir turizmui skatinti</t>
  </si>
  <si>
    <t>infrastruktūros objektų priežiūrai, modernizavimui ir plėtrai</t>
  </si>
  <si>
    <t>sveikatos ir aplinkos apsaugai</t>
  </si>
  <si>
    <t>kultūros ir sporto veiklų plėtrai</t>
  </si>
  <si>
    <t>vaikų, jaunimo ir suaugusiųjų ugdymui</t>
  </si>
  <si>
    <t>socialinės paramos plėtrai, socialinei atskirčiai mažiniti</t>
  </si>
  <si>
    <t>Savivaldybės biudžeto lėšos, iš jų:</t>
  </si>
  <si>
    <t>išlaidoms</t>
  </si>
  <si>
    <t>darbo užmokesčiui mokėti</t>
  </si>
  <si>
    <t>Lėšos valstybinėms (valstybės perduotoms savivaldybėms) funkcijoms vykdyti, iš jų:</t>
  </si>
  <si>
    <t>Valstybės biudžeto lėšos mokinio krepšeliui finansuoti, iš jų:</t>
  </si>
  <si>
    <t>Projektams vykdyti ir ilgalaikiam turtui įsigyti iš skolintų lėšų, iš jų:</t>
  </si>
  <si>
    <t>Valstybės investicijų programos objektams finansuoti</t>
  </si>
  <si>
    <t>Pajamų už teikiamas paslaugas (su aplinkos apsaugos rėmimo specialiąja programa ir vietine rinkliava už buitinių atliekų šalinimą) išlaidos, iš jų:</t>
  </si>
  <si>
    <t>Lėšos iš kelių priežiūros ir plėtros programos</t>
  </si>
  <si>
    <t>9.1.</t>
  </si>
  <si>
    <t>9.2.</t>
  </si>
  <si>
    <t>vietinėms reikšmės keliams (gatvėms) tiesti, rekonstruoti, taisyti (remontuoti), prižiūrėti ir saugaus eismo sąlygoms užtikrinti pagal savivaldy-bės Tarybos 2017-04-27 sprendimą Nr.T2-88</t>
  </si>
  <si>
    <t xml:space="preserve">                                     2017 m. vasario 23 d. sprendimo Nr. T2-18</t>
  </si>
  <si>
    <t xml:space="preserve">            4 priedas</t>
  </si>
  <si>
    <t>SPECIALIOSIOS TIKSLINĖS DOTACIJOS VALSTYBINĖMS (PERDUOTOMS</t>
  </si>
  <si>
    <t xml:space="preserve">SAVIVALDYBĖMS) FUNKCIJOMS VYKDYTI PASKIRSTYMAS </t>
  </si>
  <si>
    <t>Funkcijos pavadinimas</t>
  </si>
  <si>
    <t>Skiriama  suma (Eur)</t>
  </si>
  <si>
    <t>Gyventojų registro tvarkymas ir duomenų teikimas valstybės registrams</t>
  </si>
  <si>
    <t>Duomenų teikimas Suteiktos pagalbos ir nereikšmingos pagalbos registrui</t>
  </si>
  <si>
    <t>Archyvinių dokumentų tvarkymas</t>
  </si>
  <si>
    <t>Valstybinės kalbos vartojimo ir taisyklingumo kontrolė</t>
  </si>
  <si>
    <t>Civilinės būklės aktų registravimas</t>
  </si>
  <si>
    <t>Gyvenamosios vietos deklaravimas</t>
  </si>
  <si>
    <t>Pirminės teisinės pagalbos teikimas</t>
  </si>
  <si>
    <t>Mobilizacijos funkcijos administravimas</t>
  </si>
  <si>
    <t>Civilinės saugos administravimas</t>
  </si>
  <si>
    <t>Priešgaisrinių tarnybų organizavimas</t>
  </si>
  <si>
    <t>Žemės ūkio funkcijų vykdymas</t>
  </si>
  <si>
    <t>Melioracija</t>
  </si>
  <si>
    <t>13.</t>
  </si>
  <si>
    <t>Mokinių visuomenės sveikatos priežiūra ugdymo įstaigose</t>
  </si>
  <si>
    <t>Visuomenės sveikatos stiprinimas ir stebėsena</t>
  </si>
  <si>
    <t>Paramos mirties atveju skaičiavimas ir mokėjimas</t>
  </si>
  <si>
    <t>Vaikų teisių apsauga</t>
  </si>
  <si>
    <t>Jaunimo teisių apsauga</t>
  </si>
  <si>
    <t>Socialinė parama mokiniams</t>
  </si>
  <si>
    <t>Dalyvavimas rengiant ir įgyvendinant darbo rinkos politikos priemones ir gyventojų užimtumo programas</t>
  </si>
  <si>
    <t>Socialinės paslaugos</t>
  </si>
  <si>
    <t>Būsto nuomos ir išperkamosios būsto nuomos mokesčių dalies kompensacijos</t>
  </si>
  <si>
    <t xml:space="preserve">22. </t>
  </si>
  <si>
    <t>Neveiksnių asmenų būklės peržiūrėjimui vykdyti</t>
  </si>
  <si>
    <t>Privalomųjų biologinio saugumo priemonių neversliniuose kiaulininkystės ūkiuose taikymo įvertinimo ir sklaidos apie afrikinį kiaulių marą organizavimo išlaidoms</t>
  </si>
  <si>
    <t>Iš viso:</t>
  </si>
  <si>
    <t xml:space="preserve">                                   __________________________</t>
  </si>
  <si>
    <t>5.4.</t>
  </si>
  <si>
    <t xml:space="preserve">biudžeto išlaidoms dengti </t>
  </si>
  <si>
    <t xml:space="preserve">             redakcija)</t>
  </si>
  <si>
    <t>3.9.</t>
  </si>
  <si>
    <t>3.10.</t>
  </si>
  <si>
    <t>Švietimo objektams modernizavimo programos lėšos</t>
  </si>
  <si>
    <t>Pedagoginių darbuotojų skaičiui optimizuoti</t>
  </si>
  <si>
    <t>43.6.</t>
  </si>
  <si>
    <t>43.7.</t>
  </si>
  <si>
    <t>lėšos pedagoginių darbuotojų skaičiui optimizuoti</t>
  </si>
  <si>
    <t>lėšos Vytauto Didžiojo pagrindinės mokyklos pastatui modernizuoti</t>
  </si>
  <si>
    <t>projektui „Jurbarko rajono Agliuonos upelio baseino ir kitų melioracijos griovių bei juose esančių melioracijos statinių rekonstravimas“ finansuoti</t>
  </si>
  <si>
    <t>11.6.</t>
  </si>
  <si>
    <t>7.13.</t>
  </si>
  <si>
    <t>projektui „Vandens tiekimo ir nuotekų tvarkymo infrastruktūros plėtra Jurbarko rajone“ finansuoti</t>
  </si>
  <si>
    <t>Valstybės biudžeto lėšos įstaigoms, turinčioms specialiųjų ugdymo poreikių mokinių, neformaliam vaikų švietimui finansuoti, pedagogų darbo apmokėjimo sąlygoms gerinti, valstybės ir savivaldybių įstaigų darbuotojų darbo apmokėjimo įstatymui laipsniškai įgyvendinti ir kitoms tikslinės paskirties lėšoms, iš jų:</t>
  </si>
  <si>
    <t xml:space="preserve">                                                          (2017 m. spalio 26 d. sprendimo Nr. T2-</t>
  </si>
  <si>
    <t xml:space="preserve">                                   ____________________________                        </t>
  </si>
  <si>
    <t>(2017 m. spalio 26 d. sprendimo Nr. T2-    redakcija)</t>
  </si>
  <si>
    <t>pacientų aptarnavimo kokybei gerinti viešojoje įstaigoje Jurbarko ligoninėje (pastato renovacijai)</t>
  </si>
  <si>
    <t>pacientų aptarnavimo kokybei gerinti viešojoje įstaigoje Jurbarko rajono pirminės sveikatos priežiūros centre (tarnybinei transporto priemonei)</t>
  </si>
  <si>
    <r>
      <t xml:space="preserve">Jurbarko švietimo centrui </t>
    </r>
    <r>
      <rPr>
        <sz val="10"/>
        <color indexed="10"/>
        <rFont val="Arial"/>
        <family val="1"/>
      </rPr>
      <t>(iš jų: 3000 Eur suaugusiųjų švietimo programoms)</t>
    </r>
  </si>
  <si>
    <t>45.32.</t>
  </si>
  <si>
    <t>45.33.</t>
  </si>
  <si>
    <t>projektui „Socialinio būsto plėtra Jurbarko rajono savivaldybėje“ finansuoti</t>
  </si>
  <si>
    <t xml:space="preserve">                                                            (2017 m. spalio 26 d. sprendimo Nr. T2-</t>
  </si>
  <si>
    <t>projektui „Kompleksinės paslaugos šeimai Jurbarko rajone“ finansuoti</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</si>
</sst>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Lt&quot;;\-#,##0\ &quot;Lt&quot;"/>
    <numFmt numFmtId="165" formatCode="#,##0\ &quot;Lt&quot;;[Red]\-#,##0\ &quot;Lt&quot;"/>
    <numFmt numFmtId="166" formatCode="#,##0.00\ &quot;Lt&quot;;\-#,##0.00\ &quot;Lt&quot;"/>
    <numFmt numFmtId="167" formatCode="#,##0.00\ &quot;Lt&quot;;[Red]\-#,##0.00\ &quot;Lt&quot;"/>
    <numFmt numFmtId="168" formatCode="_-* #,##0\ &quot;Lt&quot;_-;\-* #,##0\ &quot;Lt&quot;_-;_-* &quot;-&quot;\ &quot;Lt&quot;_-;_-@_-"/>
    <numFmt numFmtId="169" formatCode="_-* #,##0\ _L_t_-;\-* #,##0\ _L_t_-;_-* &quot;-&quot;\ _L_t_-;_-@_-"/>
    <numFmt numFmtId="170" formatCode="_-* #,##0.00\ &quot;Lt&quot;_-;\-* #,##0.00\ &quot;Lt&quot;_-;_-* &quot;-&quot;??\ &quot;Lt&quot;_-;_-@_-"/>
    <numFmt numFmtId="171" formatCode="_-* #,##0.00\ _L_t_-;\-* #,##0.00\ _L_t_-;_-* &quot;-&quot;??\ _L_t_-;_-@_-"/>
    <numFmt numFmtId="172" formatCode="&quot;Yes&quot;;&quot;Yes&quot;;&quot;No&quot;"/>
    <numFmt numFmtId="173" formatCode="&quot;True&quot;;&quot;True&quot;;&quot;False&quot;"/>
    <numFmt numFmtId="174" formatCode="&quot;On&quot;;&quot;On&quot;;&quot;Off&quot;"/>
    <numFmt numFmtId="175" formatCode="[$€-2]\ #,##0.00_);[Red]\([$€-2]\ #,##0.00\)"/>
    <numFmt numFmtId="176" formatCode="&quot;Taip&quot;;&quot;Taip&quot;;&quot;Ne&quot;"/>
    <numFmt numFmtId="177" formatCode="&quot;Teisinga&quot;;&quot;Teisinga&quot;;&quot;Klaidinga&quot;"/>
    <numFmt numFmtId="178" formatCode="[$€-2]\ ###,000_);[Red]\([$€-2]\ ###,000\)"/>
    <numFmt numFmtId="179" formatCode="[$-427]yyyy\ &quot;m.&quot;\ mmmm\ d\ &quot;d.&quot;"/>
  </numFmts>
  <fonts count="85">
    <font>
      <sz val="10"/>
      <name val="Arial"/>
      <family val="0"/>
    </font>
    <font>
      <u val="single"/>
      <sz val="10"/>
      <color indexed="12"/>
      <name val="Arial"/>
      <family val="2"/>
    </font>
    <font>
      <u val="single"/>
      <sz val="10"/>
      <color indexed="36"/>
      <name val="Arial"/>
      <family val="2"/>
    </font>
    <font>
      <sz val="8"/>
      <name val="Arial"/>
      <family val="2"/>
    </font>
    <font>
      <sz val="9"/>
      <name val="Tahoma"/>
      <family val="2"/>
    </font>
    <font>
      <b/>
      <sz val="9"/>
      <name val="Tahoma"/>
      <family val="2"/>
    </font>
    <font>
      <sz val="11"/>
      <name val="Times New Roman"/>
      <family val="1"/>
    </font>
    <font>
      <b/>
      <sz val="11"/>
      <name val="Times New Roman"/>
      <family val="1"/>
    </font>
    <font>
      <b/>
      <sz val="12"/>
      <name val="Times New Roman"/>
      <family val="1"/>
    </font>
    <font>
      <sz val="12"/>
      <name val="Times New Roman"/>
      <family val="1"/>
    </font>
    <font>
      <sz val="10"/>
      <name val="Times New Roman"/>
      <family val="1"/>
    </font>
    <font>
      <sz val="11"/>
      <name val="Arial"/>
      <family val="2"/>
    </font>
    <font>
      <b/>
      <sz val="10"/>
      <name val="Arial"/>
      <family val="2"/>
    </font>
    <font>
      <sz val="11.5"/>
      <name val="Times New Roman"/>
      <family val="1"/>
    </font>
    <font>
      <sz val="12"/>
      <name val="Arial"/>
      <family val="2"/>
    </font>
    <font>
      <b/>
      <sz val="9"/>
      <name val="Arial"/>
      <family val="2"/>
    </font>
    <font>
      <sz val="10"/>
      <color indexed="10"/>
      <name val="Arial"/>
      <family val="1"/>
    </font>
    <font>
      <b/>
      <sz val="10"/>
      <name val="Times New Roman"/>
      <family val="1"/>
    </font>
    <font>
      <sz val="9"/>
      <name val="Times New Roman"/>
      <family val="1"/>
    </font>
    <font>
      <sz val="10.5"/>
      <name val="Times New Roman"/>
      <family val="1"/>
    </font>
    <font>
      <b/>
      <sz val="11.5"/>
      <name val="Times New Roman"/>
      <family val="1"/>
    </font>
    <font>
      <b/>
      <sz val="10.5"/>
      <name val="Times New Roman"/>
      <family val="1"/>
    </font>
    <font>
      <b/>
      <sz val="11"/>
      <name val="Arial"/>
      <family val="2"/>
    </font>
    <font>
      <sz val="8"/>
      <name val="Times New Roman"/>
      <family val="1"/>
    </font>
    <font>
      <sz val="7"/>
      <name val="Times New Roman"/>
      <family val="1"/>
    </font>
    <font>
      <b/>
      <sz val="15"/>
      <color indexed="56"/>
      <name val="Calibri"/>
      <family val="2"/>
    </font>
    <font>
      <b/>
      <sz val="13"/>
      <color indexed="56"/>
      <name val="Calibri"/>
      <family val="2"/>
    </font>
    <font>
      <sz val="11"/>
      <color indexed="8"/>
      <name val="Calibri"/>
      <family val="2"/>
    </font>
    <font>
      <b/>
      <sz val="11"/>
      <color indexed="56"/>
      <name val="Calibri"/>
      <family val="2"/>
    </font>
    <font>
      <sz val="11"/>
      <color indexed="9"/>
      <name val="Calibri"/>
      <family val="2"/>
    </font>
    <font>
      <i/>
      <sz val="11"/>
      <color indexed="23"/>
      <name val="Calibri"/>
      <family val="2"/>
    </font>
    <font>
      <sz val="11"/>
      <color indexed="20"/>
      <name val="Calibri"/>
      <family val="2"/>
    </font>
    <font>
      <sz val="11"/>
      <color indexed="17"/>
      <name val="Calibri"/>
      <family val="2"/>
    </font>
    <font>
      <sz val="11"/>
      <color indexed="10"/>
      <name val="Calibri"/>
      <family val="2"/>
    </font>
    <font>
      <b/>
      <sz val="11"/>
      <color indexed="63"/>
      <name val="Calibri"/>
      <family val="2"/>
    </font>
    <font>
      <sz val="11"/>
      <color indexed="62"/>
      <name val="Calibri"/>
      <family val="2"/>
    </font>
    <font>
      <sz val="11"/>
      <color indexed="60"/>
      <name val="Calibri"/>
      <family val="2"/>
    </font>
    <font>
      <b/>
      <sz val="18"/>
      <color indexed="56"/>
      <name val="Cambria"/>
      <family val="2"/>
    </font>
    <font>
      <b/>
      <sz val="11"/>
      <color indexed="52"/>
      <name val="Calibri"/>
      <family val="2"/>
    </font>
    <font>
      <b/>
      <sz val="11"/>
      <color indexed="8"/>
      <name val="Calibri"/>
      <family val="2"/>
    </font>
    <font>
      <sz val="11"/>
      <color indexed="52"/>
      <name val="Calibri"/>
      <family val="2"/>
    </font>
    <font>
      <b/>
      <sz val="11"/>
      <color indexed="9"/>
      <name val="Calibri"/>
      <family val="2"/>
    </font>
    <font>
      <sz val="12"/>
      <color indexed="10"/>
      <name val="Times New Roman"/>
      <family val="1"/>
    </font>
    <font>
      <sz val="11"/>
      <color indexed="10"/>
      <name val="Times New Roman"/>
      <family val="1"/>
    </font>
    <font>
      <b/>
      <sz val="11"/>
      <color indexed="10"/>
      <name val="Times New Roman"/>
      <family val="1"/>
    </font>
    <font>
      <b/>
      <sz val="12"/>
      <color indexed="10"/>
      <name val="Times New Roman"/>
      <family val="1"/>
    </font>
    <font>
      <sz val="10"/>
      <color indexed="10"/>
      <name val="Times New Roman"/>
      <family val="1"/>
    </font>
    <font>
      <sz val="9"/>
      <color indexed="10"/>
      <name val="Times New Roman"/>
      <family val="1"/>
    </font>
    <font>
      <b/>
      <sz val="10"/>
      <color indexed="10"/>
      <name val="Times New Roman"/>
      <family val="1"/>
    </font>
    <font>
      <b/>
      <sz val="10.5"/>
      <color indexed="10"/>
      <name val="Times New Roman"/>
      <family val="1"/>
    </font>
    <font>
      <sz val="11"/>
      <color indexed="10"/>
      <name val="Arial"/>
      <family val="2"/>
    </font>
    <font>
      <b/>
      <sz val="11"/>
      <color indexed="10"/>
      <name val="Arial"/>
      <family val="2"/>
    </font>
    <font>
      <sz val="8"/>
      <color indexed="10"/>
      <name val="Times New Roman"/>
      <family val="1"/>
    </font>
    <font>
      <sz val="7"/>
      <color indexed="10"/>
      <name val="Times New Roman"/>
      <family val="1"/>
    </font>
    <font>
      <b/>
      <sz val="15"/>
      <color theme="3"/>
      <name val="Calibri"/>
      <family val="2"/>
    </font>
    <font>
      <b/>
      <sz val="13"/>
      <color theme="3"/>
      <name val="Calibri"/>
      <family val="2"/>
    </font>
    <font>
      <sz val="11"/>
      <color theme="1"/>
      <name val="Calibri"/>
      <family val="2"/>
    </font>
    <font>
      <b/>
      <sz val="11"/>
      <color theme="3"/>
      <name val="Calibri"/>
      <family val="2"/>
    </font>
    <font>
      <sz val="11"/>
      <color theme="0"/>
      <name val="Calibri"/>
      <family val="2"/>
    </font>
    <font>
      <i/>
      <sz val="11"/>
      <color rgb="FF7F7F7F"/>
      <name val="Calibri"/>
      <family val="2"/>
    </font>
    <font>
      <sz val="11"/>
      <color rgb="FF9C0006"/>
      <name val="Calibri"/>
      <family val="2"/>
    </font>
    <font>
      <sz val="11"/>
      <color rgb="FF006100"/>
      <name val="Calibri"/>
      <family val="2"/>
    </font>
    <font>
      <sz val="11"/>
      <color rgb="FFFF0000"/>
      <name val="Calibri"/>
      <family val="2"/>
    </font>
    <font>
      <b/>
      <sz val="11"/>
      <color rgb="FF3F3F3F"/>
      <name val="Calibri"/>
      <family val="2"/>
    </font>
    <font>
      <sz val="11"/>
      <color rgb="FF3F3F76"/>
      <name val="Calibri"/>
      <family val="2"/>
    </font>
    <font>
      <sz val="11"/>
      <color rgb="FF9C6500"/>
      <name val="Calibri"/>
      <family val="2"/>
    </font>
    <font>
      <b/>
      <sz val="18"/>
      <color theme="3"/>
      <name val="Cambria"/>
      <family val="2"/>
    </font>
    <font>
      <b/>
      <sz val="11"/>
      <color rgb="FFFA7D00"/>
      <name val="Calibri"/>
      <family val="2"/>
    </font>
    <font>
      <b/>
      <sz val="11"/>
      <color theme="1"/>
      <name val="Calibri"/>
      <family val="2"/>
    </font>
    <font>
      <sz val="11"/>
      <color rgb="FFFA7D00"/>
      <name val="Calibri"/>
      <family val="2"/>
    </font>
    <font>
      <b/>
      <sz val="11"/>
      <color theme="0"/>
      <name val="Calibri"/>
      <family val="2"/>
    </font>
    <font>
      <sz val="10"/>
      <color rgb="FFFF0000"/>
      <name val="Arial"/>
      <family val="2"/>
    </font>
    <font>
      <sz val="12"/>
      <color rgb="FFFF0000"/>
      <name val="Times New Roman"/>
      <family val="1"/>
    </font>
    <font>
      <sz val="11"/>
      <color rgb="FFFF0000"/>
      <name val="Times New Roman"/>
      <family val="1"/>
    </font>
    <font>
      <b/>
      <sz val="11"/>
      <color rgb="FFFF0000"/>
      <name val="Times New Roman"/>
      <family val="1"/>
    </font>
    <font>
      <b/>
      <sz val="12"/>
      <color rgb="FFFF0000"/>
      <name val="Times New Roman"/>
      <family val="1"/>
    </font>
    <font>
      <sz val="10"/>
      <color rgb="FFFF0000"/>
      <name val="Times New Roman"/>
      <family val="1"/>
    </font>
    <font>
      <sz val="9"/>
      <color rgb="FFFF0000"/>
      <name val="Times New Roman"/>
      <family val="1"/>
    </font>
    <font>
      <b/>
      <sz val="10"/>
      <color rgb="FFFF0000"/>
      <name val="Times New Roman"/>
      <family val="1"/>
    </font>
    <font>
      <b/>
      <sz val="10.5"/>
      <color rgb="FFFF0000"/>
      <name val="Times New Roman"/>
      <family val="1"/>
    </font>
    <font>
      <sz val="11"/>
      <color rgb="FFFF0000"/>
      <name val="Arial"/>
      <family val="2"/>
    </font>
    <font>
      <b/>
      <sz val="11"/>
      <color rgb="FFFF0000"/>
      <name val="Arial"/>
      <family val="2"/>
    </font>
    <font>
      <sz val="8"/>
      <color rgb="FFFF0000"/>
      <name val="Times New Roman"/>
      <family val="1"/>
    </font>
    <font>
      <sz val="7"/>
      <color rgb="FFFF0000"/>
      <name val="Times New Roman"/>
      <family val="1"/>
    </font>
    <font>
      <b/>
      <sz val="8"/>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FFCC99"/>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A5A5A5"/>
        <bgColor indexed="64"/>
      </patternFill>
    </fill>
    <fill>
      <patternFill patternType="solid">
        <fgColor indexed="42"/>
        <bgColor indexed="64"/>
      </patternFill>
    </fill>
  </fills>
  <borders count="19">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color indexed="63"/>
      </top>
      <bottom style="thin"/>
    </border>
    <border>
      <left>
        <color indexed="63"/>
      </left>
      <right style="thin"/>
      <top style="thin"/>
      <bottom style="thin"/>
    </border>
    <border>
      <left style="thin"/>
      <right style="thin"/>
      <top style="thin"/>
      <bottom>
        <color indexed="63"/>
      </bottom>
    </border>
    <border>
      <left>
        <color indexed="63"/>
      </left>
      <right style="thin"/>
      <top>
        <color indexed="63"/>
      </top>
      <bottom style="thin"/>
    </border>
    <border>
      <left style="thin"/>
      <right>
        <color indexed="63"/>
      </right>
      <top style="thin"/>
      <bottom style="thin"/>
    </border>
    <border>
      <left>
        <color indexed="63"/>
      </left>
      <right>
        <color indexed="63"/>
      </right>
      <top>
        <color indexed="63"/>
      </top>
      <bottom style="thin"/>
    </border>
    <border>
      <left>
        <color indexed="63"/>
      </left>
      <right>
        <color indexed="63"/>
      </right>
      <top style="thin"/>
      <bottom style="thin"/>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0" borderId="1" applyNumberFormat="0" applyFill="0" applyAlignment="0" applyProtection="0"/>
    <xf numFmtId="0" fontId="55" fillId="0" borderId="2" applyNumberFormat="0" applyFill="0" applyAlignment="0" applyProtection="0"/>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7" fillId="0" borderId="3" applyNumberFormat="0" applyFill="0" applyAlignment="0" applyProtection="0"/>
    <xf numFmtId="0" fontId="57" fillId="0" borderId="0" applyNumberFormat="0" applyFill="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9" fillId="0" borderId="0" applyNumberFormat="0" applyFill="0" applyBorder="0" applyAlignment="0" applyProtection="0"/>
    <xf numFmtId="0" fontId="2" fillId="0" borderId="0" applyNumberFormat="0" applyFill="0" applyBorder="0" applyAlignment="0" applyProtection="0"/>
    <xf numFmtId="0" fontId="60" fillId="20" borderId="0" applyNumberFormat="0" applyBorder="0" applyAlignment="0" applyProtection="0"/>
    <xf numFmtId="0" fontId="61" fillId="21" borderId="0" applyNumberFormat="0" applyBorder="0" applyAlignment="0" applyProtection="0"/>
    <xf numFmtId="0" fontId="1" fillId="0" borderId="0" applyNumberFormat="0" applyFill="0" applyBorder="0" applyAlignment="0" applyProtection="0"/>
    <xf numFmtId="0" fontId="62" fillId="0" borderId="0" applyNumberFormat="0" applyFill="0" applyBorder="0" applyAlignment="0" applyProtection="0"/>
    <xf numFmtId="0" fontId="63" fillId="22" borderId="4" applyNumberFormat="0" applyAlignment="0" applyProtection="0"/>
    <xf numFmtId="0" fontId="64" fillId="23" borderId="5"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65" fillId="24" borderId="0" applyNumberFormat="0" applyBorder="0" applyAlignment="0" applyProtection="0"/>
    <xf numFmtId="0" fontId="58" fillId="25" borderId="0" applyNumberFormat="0" applyBorder="0" applyAlignment="0" applyProtection="0"/>
    <xf numFmtId="0" fontId="58" fillId="26" borderId="0" applyNumberFormat="0" applyBorder="0" applyAlignment="0" applyProtection="0"/>
    <xf numFmtId="0" fontId="58" fillId="27" borderId="0" applyNumberFormat="0" applyBorder="0" applyAlignment="0" applyProtection="0"/>
    <xf numFmtId="0" fontId="58" fillId="28" borderId="0" applyNumberFormat="0" applyBorder="0" applyAlignment="0" applyProtection="0"/>
    <xf numFmtId="0" fontId="58" fillId="29" borderId="0" applyNumberFormat="0" applyBorder="0" applyAlignment="0" applyProtection="0"/>
    <xf numFmtId="0" fontId="58" fillId="30" borderId="0" applyNumberFormat="0" applyBorder="0" applyAlignment="0" applyProtection="0"/>
    <xf numFmtId="0" fontId="0" fillId="31" borderId="6" applyNumberFormat="0" applyFont="0" applyAlignment="0" applyProtection="0"/>
    <xf numFmtId="0" fontId="66" fillId="0" borderId="0" applyNumberFormat="0" applyFill="0" applyBorder="0" applyAlignment="0" applyProtection="0"/>
    <xf numFmtId="9" fontId="0" fillId="0" borderId="0" applyFont="0" applyFill="0" applyBorder="0" applyAlignment="0" applyProtection="0"/>
    <xf numFmtId="0" fontId="67" fillId="22" borderId="5" applyNumberFormat="0" applyAlignment="0" applyProtection="0"/>
    <xf numFmtId="0" fontId="68" fillId="0" borderId="7" applyNumberFormat="0" applyFill="0" applyAlignment="0" applyProtection="0"/>
    <xf numFmtId="0" fontId="69" fillId="0" borderId="8" applyNumberFormat="0" applyFill="0" applyAlignment="0" applyProtection="0"/>
    <xf numFmtId="0" fontId="70" fillId="32" borderId="9" applyNumberFormat="0" applyAlignment="0" applyProtection="0"/>
    <xf numFmtId="170" fontId="0" fillId="0" borderId="0" applyFont="0" applyFill="0" applyBorder="0" applyAlignment="0" applyProtection="0"/>
    <xf numFmtId="168" fontId="0" fillId="0" borderId="0" applyFont="0" applyFill="0" applyBorder="0" applyAlignment="0" applyProtection="0"/>
  </cellStyleXfs>
  <cellXfs count="226">
    <xf numFmtId="0" fontId="0" fillId="0" borderId="0" xfId="0" applyAlignment="1">
      <alignment/>
    </xf>
    <xf numFmtId="0" fontId="71" fillId="0" borderId="0" xfId="0" applyFont="1" applyAlignment="1">
      <alignment/>
    </xf>
    <xf numFmtId="0" fontId="8" fillId="0" borderId="0" xfId="0" applyFont="1" applyAlignment="1">
      <alignment/>
    </xf>
    <xf numFmtId="0" fontId="9" fillId="0" borderId="0" xfId="0" applyFont="1" applyAlignment="1">
      <alignment/>
    </xf>
    <xf numFmtId="0" fontId="6" fillId="0" borderId="0" xfId="0" applyFont="1" applyAlignment="1">
      <alignment/>
    </xf>
    <xf numFmtId="0" fontId="10" fillId="0" borderId="0" xfId="0" applyFont="1" applyAlignment="1">
      <alignment/>
    </xf>
    <xf numFmtId="0" fontId="12" fillId="0" borderId="0" xfId="0" applyFont="1" applyAlignment="1">
      <alignment/>
    </xf>
    <xf numFmtId="0" fontId="0" fillId="0" borderId="0" xfId="0" applyFont="1" applyAlignment="1">
      <alignment/>
    </xf>
    <xf numFmtId="0" fontId="0" fillId="0" borderId="0" xfId="0" applyFont="1" applyAlignment="1">
      <alignment horizontal="center"/>
    </xf>
    <xf numFmtId="0" fontId="9" fillId="0" borderId="0" xfId="0" applyFont="1" applyAlignment="1">
      <alignment horizontal="center"/>
    </xf>
    <xf numFmtId="0" fontId="8" fillId="0" borderId="0" xfId="0" applyFont="1" applyAlignment="1">
      <alignment horizontal="right"/>
    </xf>
    <xf numFmtId="0" fontId="11" fillId="0" borderId="0" xfId="0" applyFont="1" applyAlignment="1">
      <alignment/>
    </xf>
    <xf numFmtId="0" fontId="7" fillId="0" borderId="10" xfId="0" applyFont="1" applyBorder="1" applyAlignment="1">
      <alignment horizontal="center" vertical="center" wrapText="1"/>
    </xf>
    <xf numFmtId="0" fontId="8" fillId="0" borderId="10" xfId="0" applyFont="1" applyBorder="1" applyAlignment="1">
      <alignment vertical="top" wrapText="1"/>
    </xf>
    <xf numFmtId="0" fontId="8" fillId="0" borderId="10" xfId="0" applyFont="1" applyBorder="1" applyAlignment="1">
      <alignment horizontal="right" vertical="center" wrapText="1"/>
    </xf>
    <xf numFmtId="0" fontId="6" fillId="0" borderId="10" xfId="0" applyFont="1" applyBorder="1" applyAlignment="1">
      <alignment horizontal="center" vertical="center" wrapText="1"/>
    </xf>
    <xf numFmtId="0" fontId="9" fillId="0" borderId="10" xfId="0" applyFont="1" applyBorder="1" applyAlignment="1">
      <alignment vertical="top" wrapText="1"/>
    </xf>
    <xf numFmtId="0" fontId="9" fillId="0" borderId="10" xfId="0" applyFont="1" applyBorder="1" applyAlignment="1">
      <alignment horizontal="right" vertical="center" wrapText="1"/>
    </xf>
    <xf numFmtId="0" fontId="9" fillId="0" borderId="10" xfId="0" applyFont="1" applyBorder="1" applyAlignment="1">
      <alignment horizontal="right" wrapText="1"/>
    </xf>
    <xf numFmtId="0" fontId="9" fillId="0" borderId="11" xfId="0" applyFont="1" applyBorder="1" applyAlignment="1">
      <alignment vertical="top" wrapText="1"/>
    </xf>
    <xf numFmtId="0" fontId="9" fillId="0" borderId="11" xfId="0" applyFont="1" applyBorder="1" applyAlignment="1">
      <alignment horizontal="right" vertical="center" wrapText="1"/>
    </xf>
    <xf numFmtId="0" fontId="72" fillId="0" borderId="10" xfId="0" applyFont="1" applyBorder="1" applyAlignment="1">
      <alignment horizontal="right" vertical="center" wrapText="1"/>
    </xf>
    <xf numFmtId="0" fontId="13" fillId="0" borderId="10" xfId="0" applyFont="1" applyBorder="1" applyAlignment="1">
      <alignment vertical="top" wrapText="1"/>
    </xf>
    <xf numFmtId="0" fontId="73" fillId="0" borderId="10" xfId="0" applyFont="1" applyBorder="1" applyAlignment="1">
      <alignment horizontal="center" vertical="center" wrapText="1"/>
    </xf>
    <xf numFmtId="0" fontId="72" fillId="0" borderId="10" xfId="0" applyFont="1" applyBorder="1" applyAlignment="1">
      <alignment vertical="top" wrapText="1"/>
    </xf>
    <xf numFmtId="0" fontId="9" fillId="0" borderId="12" xfId="0" applyFont="1" applyBorder="1" applyAlignment="1">
      <alignment horizontal="right" vertical="center" wrapText="1"/>
    </xf>
    <xf numFmtId="0" fontId="7" fillId="0" borderId="0" xfId="0" applyFont="1" applyBorder="1" applyAlignment="1">
      <alignment horizontal="center" vertical="center" wrapText="1"/>
    </xf>
    <xf numFmtId="0" fontId="8" fillId="0" borderId="0" xfId="0" applyFont="1" applyBorder="1" applyAlignment="1">
      <alignment vertical="top" wrapText="1"/>
    </xf>
    <xf numFmtId="0" fontId="8" fillId="0" borderId="0" xfId="0" applyFont="1" applyBorder="1" applyAlignment="1">
      <alignment horizontal="right" vertical="center" wrapText="1"/>
    </xf>
    <xf numFmtId="0" fontId="0" fillId="0" borderId="0" xfId="0" applyFont="1" applyAlignment="1">
      <alignment horizontal="right"/>
    </xf>
    <xf numFmtId="0" fontId="11" fillId="0" borderId="0" xfId="0" applyFont="1" applyAlignment="1">
      <alignment horizontal="center" vertical="center"/>
    </xf>
    <xf numFmtId="0" fontId="6" fillId="0" borderId="10" xfId="0" applyFont="1" applyBorder="1" applyAlignment="1">
      <alignment horizontal="center" vertical="center"/>
    </xf>
    <xf numFmtId="0" fontId="9" fillId="0" borderId="10" xfId="0" applyFont="1" applyFill="1" applyBorder="1" applyAlignment="1">
      <alignment vertical="center"/>
    </xf>
    <xf numFmtId="0" fontId="72" fillId="0" borderId="10" xfId="0" applyFont="1" applyFill="1" applyBorder="1" applyAlignment="1">
      <alignment vertical="center"/>
    </xf>
    <xf numFmtId="0" fontId="9" fillId="0" borderId="10" xfId="0" applyFont="1" applyBorder="1" applyAlignment="1">
      <alignment vertical="center"/>
    </xf>
    <xf numFmtId="0" fontId="9" fillId="0" borderId="13" xfId="0" applyFont="1" applyFill="1" applyBorder="1" applyAlignment="1">
      <alignment vertical="center"/>
    </xf>
    <xf numFmtId="0" fontId="73" fillId="0" borderId="10" xfId="0" applyFont="1" applyBorder="1" applyAlignment="1">
      <alignment horizontal="center" vertical="center"/>
    </xf>
    <xf numFmtId="0" fontId="72" fillId="0" borderId="11" xfId="0" applyFont="1" applyBorder="1" applyAlignment="1">
      <alignment vertical="center" wrapText="1"/>
    </xf>
    <xf numFmtId="0" fontId="72" fillId="0" borderId="10" xfId="0" applyFont="1" applyBorder="1" applyAlignment="1">
      <alignment vertical="center"/>
    </xf>
    <xf numFmtId="0" fontId="8" fillId="0" borderId="10" xfId="0" applyFont="1" applyBorder="1" applyAlignment="1">
      <alignment horizontal="right" vertical="center"/>
    </xf>
    <xf numFmtId="0" fontId="6" fillId="0" borderId="0" xfId="0" applyFont="1" applyAlignment="1">
      <alignment horizontal="center"/>
    </xf>
    <xf numFmtId="165" fontId="8" fillId="0" borderId="0" xfId="0" applyNumberFormat="1" applyFont="1" applyAlignment="1">
      <alignment/>
    </xf>
    <xf numFmtId="165" fontId="9" fillId="0" borderId="0" xfId="0" applyNumberFormat="1" applyFont="1" applyAlignment="1">
      <alignment/>
    </xf>
    <xf numFmtId="0" fontId="14" fillId="0" borderId="0" xfId="0" applyFont="1" applyAlignment="1">
      <alignment horizontal="center"/>
    </xf>
    <xf numFmtId="0" fontId="14" fillId="0" borderId="0" xfId="0" applyFont="1" applyAlignment="1">
      <alignment/>
    </xf>
    <xf numFmtId="0" fontId="8" fillId="0" borderId="10" xfId="0" applyFont="1" applyBorder="1" applyAlignment="1">
      <alignment vertical="center"/>
    </xf>
    <xf numFmtId="0" fontId="9" fillId="0" borderId="11" xfId="0" applyFont="1" applyBorder="1" applyAlignment="1">
      <alignment vertical="center" wrapText="1"/>
    </xf>
    <xf numFmtId="0" fontId="9" fillId="0" borderId="14" xfId="0" applyFont="1" applyBorder="1" applyAlignment="1">
      <alignment horizontal="right" vertical="center" wrapText="1"/>
    </xf>
    <xf numFmtId="0" fontId="9" fillId="0" borderId="11" xfId="0" applyFont="1" applyBorder="1" applyAlignment="1">
      <alignment vertical="center"/>
    </xf>
    <xf numFmtId="0" fontId="9" fillId="0" borderId="10" xfId="0" applyFont="1" applyBorder="1" applyAlignment="1">
      <alignment vertical="center" wrapText="1"/>
    </xf>
    <xf numFmtId="0" fontId="15" fillId="0" borderId="0" xfId="0" applyFont="1" applyAlignment="1">
      <alignment horizontal="right"/>
    </xf>
    <xf numFmtId="0" fontId="7" fillId="0" borderId="0" xfId="0" applyFont="1" applyBorder="1" applyAlignment="1">
      <alignment horizontal="right" vertical="top" wrapText="1"/>
    </xf>
    <xf numFmtId="0" fontId="11" fillId="0" borderId="0" xfId="0" applyFont="1" applyAlignment="1">
      <alignment horizontal="center" vertical="center"/>
    </xf>
    <xf numFmtId="0" fontId="9" fillId="0" borderId="0" xfId="0" applyFont="1" applyAlignment="1">
      <alignment horizontal="center"/>
    </xf>
    <xf numFmtId="0" fontId="0" fillId="0" borderId="0" xfId="0" applyFont="1" applyAlignment="1">
      <alignment/>
    </xf>
    <xf numFmtId="0" fontId="8" fillId="0" borderId="0" xfId="0" applyFont="1" applyAlignment="1">
      <alignment horizontal="center" vertical="center"/>
    </xf>
    <xf numFmtId="0" fontId="8" fillId="0" borderId="0" xfId="0" applyFont="1" applyAlignment="1">
      <alignment horizontal="right"/>
    </xf>
    <xf numFmtId="0" fontId="15" fillId="0" borderId="0" xfId="0" applyFont="1" applyAlignment="1">
      <alignment horizontal="right"/>
    </xf>
    <xf numFmtId="0" fontId="15" fillId="0" borderId="0" xfId="0" applyFont="1" applyAlignment="1">
      <alignment horizontal="center" vertical="center"/>
    </xf>
    <xf numFmtId="0" fontId="0" fillId="0" borderId="0" xfId="0" applyFont="1" applyAlignment="1">
      <alignment horizontal="center" vertical="center"/>
    </xf>
    <xf numFmtId="0" fontId="7" fillId="0" borderId="10" xfId="0" applyFont="1" applyBorder="1" applyAlignment="1">
      <alignment horizontal="center" vertical="center" wrapText="1"/>
    </xf>
    <xf numFmtId="0" fontId="8" fillId="0" borderId="10" xfId="0" applyFont="1" applyBorder="1" applyAlignment="1">
      <alignment horizontal="justify" vertical="top" wrapText="1"/>
    </xf>
    <xf numFmtId="0" fontId="8" fillId="0" borderId="10" xfId="0" applyFont="1" applyBorder="1" applyAlignment="1">
      <alignment horizontal="right" vertical="center" wrapText="1"/>
    </xf>
    <xf numFmtId="0" fontId="12" fillId="0" borderId="0" xfId="0" applyFont="1" applyAlignment="1">
      <alignment/>
    </xf>
    <xf numFmtId="0" fontId="73" fillId="0" borderId="10" xfId="0" applyFont="1" applyBorder="1" applyAlignment="1">
      <alignment horizontal="center" vertical="center" wrapText="1"/>
    </xf>
    <xf numFmtId="0" fontId="72" fillId="0" borderId="10" xfId="0" applyFont="1" applyBorder="1" applyAlignment="1">
      <alignment horizontal="justify" vertical="top" wrapText="1"/>
    </xf>
    <xf numFmtId="0" fontId="72" fillId="0" borderId="10" xfId="0" applyFont="1" applyBorder="1" applyAlignment="1">
      <alignment horizontal="right" vertical="center" wrapText="1"/>
    </xf>
    <xf numFmtId="0" fontId="6" fillId="0" borderId="10" xfId="0" applyFont="1" applyBorder="1" applyAlignment="1">
      <alignment horizontal="center" vertical="center" wrapText="1"/>
    </xf>
    <xf numFmtId="0" fontId="9" fillId="0" borderId="10" xfId="0" applyFont="1" applyBorder="1" applyAlignment="1">
      <alignment horizontal="justify" vertical="top" wrapText="1"/>
    </xf>
    <xf numFmtId="0" fontId="9" fillId="0" borderId="10" xfId="0" applyFont="1" applyBorder="1" applyAlignment="1">
      <alignment horizontal="right" vertical="center" wrapText="1"/>
    </xf>
    <xf numFmtId="0" fontId="72" fillId="0" borderId="10" xfId="0" applyFont="1" applyFill="1" applyBorder="1" applyAlignment="1">
      <alignment horizontal="right" vertical="center" wrapText="1"/>
    </xf>
    <xf numFmtId="0" fontId="74" fillId="0" borderId="10" xfId="0" applyFont="1" applyBorder="1" applyAlignment="1">
      <alignment horizontal="center" vertical="center" wrapText="1"/>
    </xf>
    <xf numFmtId="0" fontId="75" fillId="0" borderId="10" xfId="0" applyFont="1" applyBorder="1" applyAlignment="1">
      <alignment vertical="top" wrapText="1"/>
    </xf>
    <xf numFmtId="0" fontId="75" fillId="0" borderId="10" xfId="0" applyFont="1" applyBorder="1" applyAlignment="1">
      <alignment horizontal="right" vertical="center" wrapText="1"/>
    </xf>
    <xf numFmtId="0" fontId="9" fillId="0" borderId="10" xfId="0" applyFont="1" applyBorder="1" applyAlignment="1">
      <alignment vertical="top" wrapText="1"/>
    </xf>
    <xf numFmtId="0" fontId="72" fillId="0" borderId="10" xfId="0" applyFont="1" applyBorder="1" applyAlignment="1">
      <alignment vertical="top" wrapText="1"/>
    </xf>
    <xf numFmtId="0" fontId="9" fillId="0" borderId="10" xfId="0" applyFont="1" applyFill="1" applyBorder="1" applyAlignment="1">
      <alignment horizontal="right" vertical="center" wrapText="1"/>
    </xf>
    <xf numFmtId="0" fontId="8" fillId="0" borderId="10" xfId="0" applyFont="1" applyBorder="1" applyAlignment="1">
      <alignment vertical="top" wrapText="1"/>
    </xf>
    <xf numFmtId="0" fontId="75" fillId="0" borderId="10" xfId="0" applyFont="1" applyFill="1" applyBorder="1" applyAlignment="1">
      <alignment horizontal="right" vertical="center" wrapText="1"/>
    </xf>
    <xf numFmtId="0" fontId="8" fillId="0" borderId="10" xfId="0" applyFont="1" applyFill="1" applyBorder="1" applyAlignment="1">
      <alignment horizontal="right" vertical="center" wrapText="1"/>
    </xf>
    <xf numFmtId="1" fontId="72" fillId="0" borderId="10" xfId="0" applyNumberFormat="1" applyFont="1" applyFill="1" applyBorder="1" applyAlignment="1">
      <alignment horizontal="right" vertical="center" wrapText="1"/>
    </xf>
    <xf numFmtId="0" fontId="6" fillId="0" borderId="0" xfId="0" applyFont="1" applyBorder="1" applyAlignment="1">
      <alignment horizontal="center" vertical="center" wrapText="1"/>
    </xf>
    <xf numFmtId="0" fontId="9" fillId="0" borderId="0" xfId="0" applyFont="1" applyBorder="1" applyAlignment="1">
      <alignment vertical="top" wrapText="1"/>
    </xf>
    <xf numFmtId="0" fontId="9" fillId="0" borderId="0" xfId="0" applyFont="1" applyBorder="1" applyAlignment="1">
      <alignment horizontal="right" vertical="center" wrapText="1"/>
    </xf>
    <xf numFmtId="0" fontId="0" fillId="0" borderId="0" xfId="0" applyFont="1" applyAlignment="1">
      <alignment horizontal="right"/>
    </xf>
    <xf numFmtId="1" fontId="0" fillId="0" borderId="0" xfId="0" applyNumberFormat="1" applyFont="1" applyAlignment="1">
      <alignment horizontal="center" vertical="center"/>
    </xf>
    <xf numFmtId="1" fontId="0" fillId="0" borderId="0" xfId="0" applyNumberFormat="1" applyFont="1" applyAlignment="1">
      <alignment/>
    </xf>
    <xf numFmtId="0" fontId="0" fillId="0" borderId="0" xfId="0" applyFont="1" applyAlignment="1">
      <alignment horizontal="center"/>
    </xf>
    <xf numFmtId="1" fontId="0" fillId="0" borderId="0" xfId="0" applyNumberFormat="1" applyFont="1" applyAlignment="1">
      <alignment horizontal="right" vertical="center"/>
    </xf>
    <xf numFmtId="0" fontId="11" fillId="0" borderId="0" xfId="0" applyFont="1" applyAlignment="1">
      <alignment horizontal="center"/>
    </xf>
    <xf numFmtId="0" fontId="9" fillId="0" borderId="10" xfId="0" applyFont="1" applyFill="1" applyBorder="1" applyAlignment="1">
      <alignment horizontal="left" vertical="center" wrapText="1"/>
    </xf>
    <xf numFmtId="0" fontId="11" fillId="0" borderId="10" xfId="0" applyFont="1" applyBorder="1" applyAlignment="1">
      <alignment horizontal="center" vertical="center"/>
    </xf>
    <xf numFmtId="0" fontId="6" fillId="0" borderId="0" xfId="0" applyFont="1" applyAlignment="1">
      <alignment horizontal="right"/>
    </xf>
    <xf numFmtId="0" fontId="6" fillId="0" borderId="0" xfId="0" applyNumberFormat="1" applyFont="1" applyAlignment="1">
      <alignment horizontal="right"/>
    </xf>
    <xf numFmtId="0" fontId="6" fillId="0" borderId="0" xfId="0" applyFont="1" applyFill="1" applyAlignment="1">
      <alignment wrapText="1"/>
    </xf>
    <xf numFmtId="0" fontId="8" fillId="0" borderId="0" xfId="0" applyFont="1" applyAlignment="1">
      <alignment/>
    </xf>
    <xf numFmtId="0" fontId="9" fillId="0" borderId="0" xfId="0" applyFont="1" applyAlignment="1">
      <alignment/>
    </xf>
    <xf numFmtId="0" fontId="7" fillId="0" borderId="0" xfId="0" applyFont="1" applyFill="1" applyAlignment="1">
      <alignment wrapText="1"/>
    </xf>
    <xf numFmtId="0" fontId="10" fillId="0" borderId="0" xfId="0" applyFont="1" applyAlignment="1">
      <alignment horizontal="center" vertical="center" wrapText="1"/>
    </xf>
    <xf numFmtId="0" fontId="17" fillId="0" borderId="0" xfId="0" applyFont="1" applyAlignment="1">
      <alignment horizontal="center" vertical="center" wrapText="1"/>
    </xf>
    <xf numFmtId="0" fontId="17" fillId="0" borderId="10" xfId="0" applyNumberFormat="1" applyFont="1" applyBorder="1" applyAlignment="1">
      <alignment horizontal="center"/>
    </xf>
    <xf numFmtId="0" fontId="17" fillId="0" borderId="10" xfId="0" applyFont="1" applyFill="1" applyBorder="1" applyAlignment="1">
      <alignment horizontal="center" wrapText="1"/>
    </xf>
    <xf numFmtId="0" fontId="17" fillId="0" borderId="10" xfId="0" applyFont="1" applyBorder="1" applyAlignment="1">
      <alignment horizontal="center"/>
    </xf>
    <xf numFmtId="0" fontId="17" fillId="0" borderId="0" xfId="0" applyFont="1" applyAlignment="1">
      <alignment/>
    </xf>
    <xf numFmtId="0" fontId="7" fillId="0" borderId="10" xfId="0" applyNumberFormat="1" applyFont="1" applyBorder="1" applyAlignment="1">
      <alignment horizontal="right"/>
    </xf>
    <xf numFmtId="0" fontId="8" fillId="0" borderId="0" xfId="0" applyFont="1" applyAlignment="1">
      <alignment horizontal="left"/>
    </xf>
    <xf numFmtId="0" fontId="7" fillId="0" borderId="10" xfId="0" applyFont="1" applyFill="1" applyBorder="1" applyAlignment="1">
      <alignment horizontal="left" wrapText="1"/>
    </xf>
    <xf numFmtId="0" fontId="7" fillId="0" borderId="10" xfId="0" applyFont="1" applyFill="1" applyBorder="1" applyAlignment="1">
      <alignment horizontal="right" wrapText="1"/>
    </xf>
    <xf numFmtId="0" fontId="7" fillId="0" borderId="10" xfId="0" applyFont="1" applyBorder="1" applyAlignment="1">
      <alignment horizontal="right"/>
    </xf>
    <xf numFmtId="0" fontId="7" fillId="0" borderId="0" xfId="0" applyFont="1" applyAlignment="1">
      <alignment horizontal="left"/>
    </xf>
    <xf numFmtId="16" fontId="10" fillId="0" borderId="10" xfId="0" applyNumberFormat="1" applyFont="1" applyBorder="1" applyAlignment="1">
      <alignment horizontal="right"/>
    </xf>
    <xf numFmtId="0" fontId="6" fillId="0" borderId="10" xfId="0" applyFont="1" applyFill="1" applyBorder="1" applyAlignment="1">
      <alignment wrapText="1"/>
    </xf>
    <xf numFmtId="0" fontId="6" fillId="0" borderId="10" xfId="0" applyFont="1" applyBorder="1" applyAlignment="1">
      <alignment horizontal="right"/>
    </xf>
    <xf numFmtId="16" fontId="76" fillId="0" borderId="10" xfId="0" applyNumberFormat="1" applyFont="1" applyBorder="1" applyAlignment="1">
      <alignment horizontal="right"/>
    </xf>
    <xf numFmtId="0" fontId="73" fillId="0" borderId="10" xfId="0" applyFont="1" applyFill="1" applyBorder="1" applyAlignment="1">
      <alignment wrapText="1"/>
    </xf>
    <xf numFmtId="0" fontId="74" fillId="0" borderId="10" xfId="0" applyFont="1" applyFill="1" applyBorder="1" applyAlignment="1">
      <alignment horizontal="right"/>
    </xf>
    <xf numFmtId="0" fontId="6" fillId="0" borderId="10" xfId="0" applyFont="1" applyFill="1" applyBorder="1" applyAlignment="1">
      <alignment horizontal="right"/>
    </xf>
    <xf numFmtId="0" fontId="73" fillId="0" borderId="10" xfId="0" applyFont="1" applyFill="1" applyBorder="1" applyAlignment="1">
      <alignment horizontal="right"/>
    </xf>
    <xf numFmtId="0" fontId="7" fillId="0" borderId="10" xfId="0" applyFont="1" applyFill="1" applyBorder="1" applyAlignment="1">
      <alignment horizontal="right"/>
    </xf>
    <xf numFmtId="0" fontId="74" fillId="0" borderId="10" xfId="0" applyFont="1" applyBorder="1" applyAlignment="1">
      <alignment horizontal="right"/>
    </xf>
    <xf numFmtId="16" fontId="18" fillId="0" borderId="10" xfId="0" applyNumberFormat="1" applyFont="1" applyBorder="1" applyAlignment="1">
      <alignment horizontal="right"/>
    </xf>
    <xf numFmtId="0" fontId="77" fillId="0" borderId="10" xfId="0" applyNumberFormat="1" applyFont="1" applyBorder="1" applyAlignment="1">
      <alignment horizontal="right"/>
    </xf>
    <xf numFmtId="0" fontId="73" fillId="0" borderId="10" xfId="0" applyFont="1" applyBorder="1" applyAlignment="1">
      <alignment horizontal="right"/>
    </xf>
    <xf numFmtId="0" fontId="19" fillId="0" borderId="10" xfId="0" applyFont="1" applyFill="1" applyBorder="1" applyAlignment="1">
      <alignment wrapText="1"/>
    </xf>
    <xf numFmtId="0" fontId="7" fillId="0" borderId="0" xfId="0" applyFont="1" applyAlignment="1">
      <alignment/>
    </xf>
    <xf numFmtId="0" fontId="10" fillId="0" borderId="10" xfId="0" applyNumberFormat="1" applyFont="1" applyBorder="1" applyAlignment="1">
      <alignment horizontal="right"/>
    </xf>
    <xf numFmtId="0" fontId="6" fillId="0" borderId="10" xfId="0" applyFont="1" applyFill="1" applyBorder="1" applyAlignment="1">
      <alignment horizontal="left" wrapText="1"/>
    </xf>
    <xf numFmtId="0" fontId="6" fillId="0" borderId="10" xfId="0" applyFont="1" applyBorder="1" applyAlignment="1">
      <alignment horizontal="center"/>
    </xf>
    <xf numFmtId="0" fontId="6" fillId="0" borderId="0" xfId="0" applyFont="1" applyAlignment="1">
      <alignment/>
    </xf>
    <xf numFmtId="0" fontId="6" fillId="0" borderId="10" xfId="0" applyFont="1" applyFill="1" applyBorder="1" applyAlignment="1">
      <alignment horizontal="center"/>
    </xf>
    <xf numFmtId="0" fontId="8" fillId="0" borderId="10" xfId="0" applyNumberFormat="1" applyFont="1" applyBorder="1" applyAlignment="1">
      <alignment horizontal="right"/>
    </xf>
    <xf numFmtId="0" fontId="6" fillId="0" borderId="10" xfId="0" applyNumberFormat="1" applyFont="1" applyBorder="1" applyAlignment="1">
      <alignment horizontal="right"/>
    </xf>
    <xf numFmtId="0" fontId="6" fillId="0" borderId="10" xfId="0" applyFont="1" applyFill="1" applyBorder="1" applyAlignment="1">
      <alignment horizontal="right" wrapText="1"/>
    </xf>
    <xf numFmtId="0" fontId="6" fillId="0" borderId="0" xfId="0" applyFont="1" applyAlignment="1">
      <alignment horizontal="left"/>
    </xf>
    <xf numFmtId="0" fontId="10" fillId="0" borderId="11" xfId="0" applyNumberFormat="1" applyFont="1" applyBorder="1" applyAlignment="1">
      <alignment horizontal="right"/>
    </xf>
    <xf numFmtId="0" fontId="6" fillId="0" borderId="10" xfId="0" applyFont="1" applyBorder="1" applyAlignment="1">
      <alignment wrapText="1"/>
    </xf>
    <xf numFmtId="0" fontId="76" fillId="0" borderId="11" xfId="0" applyNumberFormat="1" applyFont="1" applyBorder="1" applyAlignment="1">
      <alignment horizontal="right"/>
    </xf>
    <xf numFmtId="0" fontId="73" fillId="0" borderId="0" xfId="0" applyFont="1" applyAlignment="1">
      <alignment wrapText="1"/>
    </xf>
    <xf numFmtId="0" fontId="72" fillId="0" borderId="0" xfId="0" applyFont="1" applyAlignment="1">
      <alignment/>
    </xf>
    <xf numFmtId="0" fontId="9" fillId="0" borderId="10" xfId="0" applyNumberFormat="1" applyFont="1" applyBorder="1" applyAlignment="1">
      <alignment horizontal="right"/>
    </xf>
    <xf numFmtId="0" fontId="19" fillId="0" borderId="10" xfId="0" applyFont="1" applyFill="1" applyBorder="1" applyAlignment="1">
      <alignment horizontal="left" wrapText="1"/>
    </xf>
    <xf numFmtId="0" fontId="6" fillId="0" borderId="0" xfId="0" applyFont="1" applyAlignment="1">
      <alignment wrapText="1"/>
    </xf>
    <xf numFmtId="0" fontId="6" fillId="0" borderId="12" xfId="0" applyFont="1" applyBorder="1" applyAlignment="1">
      <alignment horizontal="right" wrapText="1"/>
    </xf>
    <xf numFmtId="0" fontId="76" fillId="0" borderId="10" xfId="0" applyNumberFormat="1" applyFont="1" applyBorder="1" applyAlignment="1">
      <alignment horizontal="right"/>
    </xf>
    <xf numFmtId="0" fontId="73" fillId="0" borderId="10" xfId="0" applyFont="1" applyFill="1" applyBorder="1" applyAlignment="1">
      <alignment horizontal="left" wrapText="1"/>
    </xf>
    <xf numFmtId="0" fontId="73" fillId="0" borderId="0" xfId="0" applyFont="1" applyAlignment="1">
      <alignment/>
    </xf>
    <xf numFmtId="0" fontId="73" fillId="0" borderId="10" xfId="0" applyFont="1" applyFill="1" applyBorder="1" applyAlignment="1">
      <alignment horizontal="right" wrapText="1"/>
    </xf>
    <xf numFmtId="0" fontId="73" fillId="0" borderId="0" xfId="0" applyFont="1" applyAlignment="1">
      <alignment horizontal="left"/>
    </xf>
    <xf numFmtId="0" fontId="10" fillId="0" borderId="10" xfId="0" applyNumberFormat="1" applyFont="1" applyBorder="1" applyAlignment="1">
      <alignment horizontal="right" wrapText="1"/>
    </xf>
    <xf numFmtId="0" fontId="74" fillId="0" borderId="10" xfId="0" applyNumberFormat="1" applyFont="1" applyBorder="1" applyAlignment="1">
      <alignment horizontal="right"/>
    </xf>
    <xf numFmtId="0" fontId="74" fillId="0" borderId="10" xfId="0" applyFont="1" applyFill="1" applyBorder="1" applyAlignment="1">
      <alignment wrapText="1"/>
    </xf>
    <xf numFmtId="0" fontId="10" fillId="0" borderId="13" xfId="0" applyNumberFormat="1" applyFont="1" applyBorder="1" applyAlignment="1">
      <alignment horizontal="right"/>
    </xf>
    <xf numFmtId="0" fontId="6" fillId="0" borderId="13" xfId="0" applyFont="1" applyFill="1" applyBorder="1" applyAlignment="1">
      <alignment horizontal="right" wrapText="1"/>
    </xf>
    <xf numFmtId="0" fontId="6" fillId="0" borderId="13" xfId="0" applyFont="1" applyFill="1" applyBorder="1" applyAlignment="1">
      <alignment horizontal="left" wrapText="1"/>
    </xf>
    <xf numFmtId="0" fontId="6" fillId="0" borderId="13" xfId="0" applyFont="1" applyBorder="1" applyAlignment="1">
      <alignment horizontal="right"/>
    </xf>
    <xf numFmtId="0" fontId="10" fillId="0" borderId="0" xfId="0" applyFont="1" applyAlignment="1">
      <alignment/>
    </xf>
    <xf numFmtId="0" fontId="10" fillId="0" borderId="0" xfId="0" applyFont="1" applyBorder="1" applyAlignment="1">
      <alignment/>
    </xf>
    <xf numFmtId="0" fontId="74" fillId="0" borderId="10" xfId="0" applyFont="1" applyFill="1" applyBorder="1" applyAlignment="1">
      <alignment horizontal="right" wrapText="1"/>
    </xf>
    <xf numFmtId="0" fontId="6" fillId="0" borderId="10" xfId="0" applyFont="1" applyBorder="1" applyAlignment="1">
      <alignment horizontal="right" wrapText="1"/>
    </xf>
    <xf numFmtId="0" fontId="9" fillId="0" borderId="0" xfId="0" applyFont="1" applyAlignment="1">
      <alignment wrapText="1"/>
    </xf>
    <xf numFmtId="0" fontId="76" fillId="0" borderId="10" xfId="0" applyNumberFormat="1" applyFont="1" applyBorder="1" applyAlignment="1">
      <alignment horizontal="right" wrapText="1"/>
    </xf>
    <xf numFmtId="0" fontId="73" fillId="0" borderId="10" xfId="0" applyFont="1" applyBorder="1" applyAlignment="1">
      <alignment horizontal="right" wrapText="1"/>
    </xf>
    <xf numFmtId="0" fontId="17" fillId="0" borderId="10" xfId="0" applyNumberFormat="1" applyFont="1" applyBorder="1" applyAlignment="1">
      <alignment horizontal="right"/>
    </xf>
    <xf numFmtId="0" fontId="7" fillId="0" borderId="10" xfId="0" applyFont="1" applyFill="1" applyBorder="1" applyAlignment="1">
      <alignment wrapText="1"/>
    </xf>
    <xf numFmtId="0" fontId="18" fillId="0" borderId="10" xfId="0" applyNumberFormat="1" applyFont="1" applyBorder="1" applyAlignment="1">
      <alignment horizontal="right"/>
    </xf>
    <xf numFmtId="0" fontId="78" fillId="0" borderId="0" xfId="0" applyFont="1" applyAlignment="1">
      <alignment/>
    </xf>
    <xf numFmtId="0" fontId="74" fillId="0" borderId="10" xfId="0" applyFont="1" applyFill="1" applyBorder="1" applyAlignment="1">
      <alignment horizontal="left" wrapText="1"/>
    </xf>
    <xf numFmtId="0" fontId="74" fillId="0" borderId="0" xfId="0" applyFont="1" applyAlignment="1">
      <alignment/>
    </xf>
    <xf numFmtId="0" fontId="7" fillId="0" borderId="10" xfId="0" applyFont="1" applyBorder="1" applyAlignment="1">
      <alignment horizontal="right" wrapText="1"/>
    </xf>
    <xf numFmtId="0" fontId="74" fillId="0" borderId="10" xfId="0" applyNumberFormat="1" applyFont="1" applyBorder="1" applyAlignment="1">
      <alignment horizontal="right" wrapText="1"/>
    </xf>
    <xf numFmtId="0" fontId="74" fillId="0" borderId="10" xfId="0" applyFont="1" applyBorder="1" applyAlignment="1">
      <alignment horizontal="right" wrapText="1"/>
    </xf>
    <xf numFmtId="0" fontId="72" fillId="0" borderId="0" xfId="0" applyFont="1" applyAlignment="1">
      <alignment wrapText="1"/>
    </xf>
    <xf numFmtId="16" fontId="10" fillId="0" borderId="10" xfId="0" applyNumberFormat="1" applyFont="1" applyBorder="1" applyAlignment="1">
      <alignment horizontal="right" wrapText="1"/>
    </xf>
    <xf numFmtId="17" fontId="10" fillId="0" borderId="10" xfId="0" applyNumberFormat="1" applyFont="1" applyBorder="1" applyAlignment="1">
      <alignment horizontal="right" wrapText="1"/>
    </xf>
    <xf numFmtId="0" fontId="79" fillId="0" borderId="10" xfId="0" applyFont="1" applyFill="1" applyBorder="1" applyAlignment="1">
      <alignment wrapText="1"/>
    </xf>
    <xf numFmtId="0" fontId="7" fillId="0" borderId="10" xfId="0" applyNumberFormat="1" applyFont="1" applyBorder="1" applyAlignment="1">
      <alignment horizontal="right" wrapText="1"/>
    </xf>
    <xf numFmtId="0" fontId="21" fillId="0" borderId="10" xfId="0" applyFont="1" applyFill="1" applyBorder="1" applyAlignment="1">
      <alignment wrapText="1"/>
    </xf>
    <xf numFmtId="0" fontId="8" fillId="0" borderId="0" xfId="0" applyFont="1" applyAlignment="1">
      <alignment wrapText="1"/>
    </xf>
    <xf numFmtId="0" fontId="11" fillId="0" borderId="10" xfId="0" applyFont="1" applyBorder="1" applyAlignment="1">
      <alignment horizontal="right" wrapText="1"/>
    </xf>
    <xf numFmtId="0" fontId="22" fillId="0" borderId="10" xfId="0" applyFont="1" applyBorder="1" applyAlignment="1">
      <alignment horizontal="right" wrapText="1"/>
    </xf>
    <xf numFmtId="0" fontId="0" fillId="0" borderId="0" xfId="0" applyFont="1" applyAlignment="1">
      <alignment wrapText="1"/>
    </xf>
    <xf numFmtId="0" fontId="80" fillId="0" borderId="10" xfId="0" applyFont="1" applyBorder="1" applyAlignment="1">
      <alignment horizontal="right" wrapText="1"/>
    </xf>
    <xf numFmtId="0" fontId="81" fillId="0" borderId="10" xfId="0" applyFont="1" applyBorder="1" applyAlignment="1">
      <alignment horizontal="right" wrapText="1"/>
    </xf>
    <xf numFmtId="0" fontId="71" fillId="0" borderId="0" xfId="0" applyFont="1" applyAlignment="1">
      <alignment wrapText="1"/>
    </xf>
    <xf numFmtId="0" fontId="82" fillId="0" borderId="10" xfId="0" applyNumberFormat="1" applyFont="1" applyBorder="1" applyAlignment="1">
      <alignment horizontal="right" wrapText="1"/>
    </xf>
    <xf numFmtId="0" fontId="23" fillId="0" borderId="10" xfId="0" applyNumberFormat="1" applyFont="1" applyBorder="1" applyAlignment="1">
      <alignment horizontal="right" wrapText="1"/>
    </xf>
    <xf numFmtId="0" fontId="24" fillId="0" borderId="10" xfId="0" applyNumberFormat="1" applyFont="1" applyBorder="1" applyAlignment="1">
      <alignment horizontal="right" wrapText="1"/>
    </xf>
    <xf numFmtId="0" fontId="6" fillId="0" borderId="15" xfId="0" applyFont="1" applyFill="1" applyBorder="1" applyAlignment="1">
      <alignment horizontal="left" wrapText="1"/>
    </xf>
    <xf numFmtId="0" fontId="83" fillId="0" borderId="10" xfId="0" applyNumberFormat="1" applyFont="1" applyBorder="1" applyAlignment="1">
      <alignment horizontal="right" wrapText="1"/>
    </xf>
    <xf numFmtId="0" fontId="73" fillId="0" borderId="10" xfId="0" applyFont="1" applyBorder="1" applyAlignment="1">
      <alignment horizontal="center"/>
    </xf>
    <xf numFmtId="0" fontId="78" fillId="0" borderId="10" xfId="0" applyFont="1" applyBorder="1" applyAlignment="1">
      <alignment horizontal="center"/>
    </xf>
    <xf numFmtId="0" fontId="7" fillId="33" borderId="10" xfId="0" applyNumberFormat="1" applyFont="1" applyFill="1" applyBorder="1" applyAlignment="1">
      <alignment horizontal="right"/>
    </xf>
    <xf numFmtId="0" fontId="7" fillId="33" borderId="10" xfId="0" applyFont="1" applyFill="1" applyBorder="1" applyAlignment="1">
      <alignment wrapText="1"/>
    </xf>
    <xf numFmtId="0" fontId="7" fillId="33" borderId="10" xfId="0" applyFont="1" applyFill="1" applyBorder="1" applyAlignment="1">
      <alignment/>
    </xf>
    <xf numFmtId="0" fontId="10" fillId="0" borderId="10" xfId="0" applyNumberFormat="1" applyFont="1" applyBorder="1" applyAlignment="1">
      <alignment horizontal="center"/>
    </xf>
    <xf numFmtId="0" fontId="6" fillId="0" borderId="0" xfId="0" applyFont="1" applyFill="1" applyAlignment="1">
      <alignment horizontal="right" wrapText="1"/>
    </xf>
    <xf numFmtId="0" fontId="6" fillId="0" borderId="16" xfId="0" applyFont="1" applyBorder="1" applyAlignment="1">
      <alignment/>
    </xf>
    <xf numFmtId="0" fontId="7" fillId="0" borderId="16" xfId="0" applyFont="1" applyBorder="1" applyAlignment="1">
      <alignment/>
    </xf>
    <xf numFmtId="0" fontId="11" fillId="0" borderId="0" xfId="0" applyNumberFormat="1" applyFont="1" applyAlignment="1">
      <alignment horizontal="right"/>
    </xf>
    <xf numFmtId="0" fontId="11" fillId="0" borderId="0" xfId="0" applyFont="1" applyFill="1" applyAlignment="1">
      <alignment wrapText="1"/>
    </xf>
    <xf numFmtId="0" fontId="12" fillId="0" borderId="0" xfId="0" applyFont="1" applyAlignment="1">
      <alignment/>
    </xf>
    <xf numFmtId="0" fontId="0" fillId="0" borderId="0" xfId="0" applyFont="1" applyAlignment="1">
      <alignment/>
    </xf>
    <xf numFmtId="0" fontId="9" fillId="0" borderId="0" xfId="0" applyFont="1" applyAlignment="1">
      <alignment horizontal="center"/>
    </xf>
    <xf numFmtId="0" fontId="8" fillId="0" borderId="0" xfId="0" applyFont="1" applyAlignment="1">
      <alignment horizontal="center"/>
    </xf>
    <xf numFmtId="0" fontId="9" fillId="0" borderId="0" xfId="0" applyFont="1" applyAlignment="1">
      <alignment horizontal="center"/>
    </xf>
    <xf numFmtId="0" fontId="8" fillId="0" borderId="0" xfId="0" applyFont="1" applyAlignment="1">
      <alignment horizontal="center" wrapText="1"/>
    </xf>
    <xf numFmtId="0" fontId="8" fillId="0" borderId="15" xfId="0" applyFont="1" applyFill="1" applyBorder="1" applyAlignment="1">
      <alignment horizontal="left" wrapText="1"/>
    </xf>
    <xf numFmtId="0" fontId="8" fillId="0" borderId="17" xfId="0" applyFont="1" applyFill="1" applyBorder="1" applyAlignment="1">
      <alignment horizontal="left" wrapText="1"/>
    </xf>
    <xf numFmtId="0" fontId="8" fillId="0" borderId="12" xfId="0" applyFont="1" applyFill="1" applyBorder="1" applyAlignment="1">
      <alignment horizontal="left" wrapText="1"/>
    </xf>
    <xf numFmtId="0" fontId="20" fillId="0" borderId="15" xfId="0" applyFont="1" applyFill="1" applyBorder="1" applyAlignment="1">
      <alignment horizontal="left" wrapText="1"/>
    </xf>
    <xf numFmtId="0" fontId="20" fillId="0" borderId="17" xfId="0" applyFont="1" applyFill="1" applyBorder="1" applyAlignment="1">
      <alignment horizontal="left" wrapText="1"/>
    </xf>
    <xf numFmtId="0" fontId="20" fillId="0" borderId="12" xfId="0" applyFont="1" applyFill="1" applyBorder="1" applyAlignment="1">
      <alignment horizontal="left" wrapText="1"/>
    </xf>
    <xf numFmtId="0" fontId="8" fillId="0" borderId="10" xfId="0" applyFont="1" applyFill="1" applyBorder="1" applyAlignment="1">
      <alignment horizontal="left" wrapText="1"/>
    </xf>
    <xf numFmtId="0" fontId="17" fillId="0" borderId="13" xfId="0" applyFont="1" applyBorder="1" applyAlignment="1">
      <alignment horizontal="center" vertical="center" wrapText="1"/>
    </xf>
    <xf numFmtId="0" fontId="17" fillId="0" borderId="11" xfId="0" applyFont="1" applyBorder="1" applyAlignment="1">
      <alignment horizontal="center" vertical="center" wrapText="1"/>
    </xf>
    <xf numFmtId="0" fontId="17" fillId="0" borderId="15" xfId="0" applyFont="1" applyBorder="1" applyAlignment="1">
      <alignment horizontal="center" vertical="center" wrapText="1"/>
    </xf>
    <xf numFmtId="0" fontId="17" fillId="0" borderId="17" xfId="0" applyFont="1" applyBorder="1" applyAlignment="1">
      <alignment horizontal="center" vertical="center" wrapText="1"/>
    </xf>
    <xf numFmtId="0" fontId="17" fillId="0" borderId="12" xfId="0" applyFont="1" applyBorder="1" applyAlignment="1">
      <alignment horizontal="center" vertical="center" wrapText="1"/>
    </xf>
    <xf numFmtId="0" fontId="17" fillId="0" borderId="18" xfId="0" applyFont="1" applyBorder="1" applyAlignment="1">
      <alignment horizontal="center" vertical="center" wrapText="1"/>
    </xf>
    <xf numFmtId="0" fontId="8" fillId="0" borderId="0" xfId="0" applyFont="1" applyAlignment="1">
      <alignment horizontal="center"/>
    </xf>
    <xf numFmtId="0" fontId="17" fillId="0" borderId="10" xfId="0" applyNumberFormat="1" applyFont="1" applyBorder="1" applyAlignment="1">
      <alignment horizontal="center" vertical="center" wrapText="1"/>
    </xf>
    <xf numFmtId="0" fontId="17" fillId="0" borderId="13" xfId="0" applyFont="1" applyFill="1" applyBorder="1" applyAlignment="1">
      <alignment horizontal="center" vertical="center" wrapText="1"/>
    </xf>
    <xf numFmtId="0" fontId="17" fillId="0" borderId="18"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7" fillId="0" borderId="13" xfId="0" applyFont="1" applyBorder="1" applyAlignment="1">
      <alignment horizontal="center" vertical="center" wrapText="1"/>
    </xf>
    <xf numFmtId="0" fontId="7" fillId="0" borderId="11" xfId="0" applyFont="1" applyBorder="1" applyAlignment="1">
      <alignment horizontal="center" vertical="center" wrapText="1"/>
    </xf>
  </cellXfs>
  <cellStyles count="49">
    <cellStyle name="Normal" xfId="0"/>
    <cellStyle name="1 antraštė" xfId="15"/>
    <cellStyle name="2 antraštė" xfId="16"/>
    <cellStyle name="20% – paryškinimas 1" xfId="17"/>
    <cellStyle name="20% – paryškinimas 2" xfId="18"/>
    <cellStyle name="20% – paryškinimas 3" xfId="19"/>
    <cellStyle name="20% – paryškinimas 4" xfId="20"/>
    <cellStyle name="20% – paryškinimas 5" xfId="21"/>
    <cellStyle name="20% – paryškinimas 6" xfId="22"/>
    <cellStyle name="3 antraštė" xfId="23"/>
    <cellStyle name="4 antraštė" xfId="24"/>
    <cellStyle name="40% – paryškinimas 1" xfId="25"/>
    <cellStyle name="40% – paryškinimas 2" xfId="26"/>
    <cellStyle name="40% – paryškinimas 3" xfId="27"/>
    <cellStyle name="40% – paryškinimas 4" xfId="28"/>
    <cellStyle name="40% – paryškinimas 5" xfId="29"/>
    <cellStyle name="40% – paryškinimas 6" xfId="30"/>
    <cellStyle name="60% – paryškinimas 1" xfId="31"/>
    <cellStyle name="60% – paryškinimas 2" xfId="32"/>
    <cellStyle name="60% – paryškinimas 3" xfId="33"/>
    <cellStyle name="60% – paryškinimas 4" xfId="34"/>
    <cellStyle name="60% – paryškinimas 5" xfId="35"/>
    <cellStyle name="60% – paryškinimas 6" xfId="36"/>
    <cellStyle name="Aiškinamasis tekstas" xfId="37"/>
    <cellStyle name="Followed Hyperlink" xfId="38"/>
    <cellStyle name="Blogas" xfId="39"/>
    <cellStyle name="Geras" xfId="40"/>
    <cellStyle name="Hyperlink" xfId="41"/>
    <cellStyle name="Įspėjimo tekstas" xfId="42"/>
    <cellStyle name="Išvestis" xfId="43"/>
    <cellStyle name="Įvestis" xfId="44"/>
    <cellStyle name="Comma" xfId="45"/>
    <cellStyle name="Comma [0]" xfId="46"/>
    <cellStyle name="Neutralus" xfId="47"/>
    <cellStyle name="Paryškinimas 1" xfId="48"/>
    <cellStyle name="Paryškinimas 2" xfId="49"/>
    <cellStyle name="Paryškinimas 3" xfId="50"/>
    <cellStyle name="Paryškinimas 4" xfId="51"/>
    <cellStyle name="Paryškinimas 5" xfId="52"/>
    <cellStyle name="Paryškinimas 6" xfId="53"/>
    <cellStyle name="Pastaba" xfId="54"/>
    <cellStyle name="Pavadinimas" xfId="55"/>
    <cellStyle name="Percent" xfId="56"/>
    <cellStyle name="Skaičiavimas" xfId="57"/>
    <cellStyle name="Suma" xfId="58"/>
    <cellStyle name="Susietas langelis" xfId="59"/>
    <cellStyle name="Tikrinimo langelis" xfId="60"/>
    <cellStyle name="Currency" xfId="61"/>
    <cellStyle name="Currency [0]"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C54"/>
  <sheetViews>
    <sheetView zoomScalePageLayoutView="0" workbookViewId="0" topLeftCell="A22">
      <selection activeCell="I54" sqref="I54"/>
    </sheetView>
  </sheetViews>
  <sheetFormatPr defaultColWidth="9.140625" defaultRowHeight="12.75"/>
  <cols>
    <col min="1" max="1" width="6.00390625" style="11" customWidth="1"/>
    <col min="2" max="2" width="73.8515625" style="7" customWidth="1"/>
    <col min="3" max="3" width="13.8515625" style="7" customWidth="1"/>
    <col min="4" max="4" width="2.7109375" style="7" customWidth="1"/>
    <col min="5" max="16384" width="9.140625" style="7" customWidth="1"/>
  </cols>
  <sheetData>
    <row r="1" spans="2:3" ht="15.75">
      <c r="B1" s="202" t="s">
        <v>397</v>
      </c>
      <c r="C1" s="202"/>
    </row>
    <row r="2" spans="2:3" ht="15.75">
      <c r="B2" s="202" t="s">
        <v>398</v>
      </c>
      <c r="C2" s="202"/>
    </row>
    <row r="3" spans="1:3" ht="15.75">
      <c r="A3" s="30"/>
      <c r="B3" s="9" t="s">
        <v>531</v>
      </c>
      <c r="C3" s="9"/>
    </row>
    <row r="4" spans="1:3" ht="15.75">
      <c r="A4" s="30"/>
      <c r="B4" s="9" t="s">
        <v>399</v>
      </c>
      <c r="C4" s="9"/>
    </row>
    <row r="5" spans="2:3" ht="15.75">
      <c r="B5" s="9" t="s">
        <v>400</v>
      </c>
      <c r="C5" s="10"/>
    </row>
    <row r="6" spans="2:3" ht="15.75">
      <c r="B6" s="10"/>
      <c r="C6" s="10"/>
    </row>
    <row r="7" spans="2:3" ht="14.25">
      <c r="B7" s="50"/>
      <c r="C7" s="50"/>
    </row>
    <row r="8" spans="1:3" ht="15.75">
      <c r="A8" s="203" t="s">
        <v>401</v>
      </c>
      <c r="B8" s="203"/>
      <c r="C8" s="203"/>
    </row>
    <row r="9" ht="25.5" customHeight="1"/>
    <row r="10" spans="1:3" ht="28.5" customHeight="1">
      <c r="A10" s="12" t="s">
        <v>57</v>
      </c>
      <c r="B10" s="12" t="s">
        <v>58</v>
      </c>
      <c r="C10" s="12" t="s">
        <v>402</v>
      </c>
    </row>
    <row r="11" spans="1:3" ht="33" customHeight="1">
      <c r="A11" s="12" t="s">
        <v>70</v>
      </c>
      <c r="B11" s="13" t="s">
        <v>403</v>
      </c>
      <c r="C11" s="14">
        <f>SUM(C12:C20)</f>
        <v>11955300</v>
      </c>
    </row>
    <row r="12" spans="1:3" ht="17.25" customHeight="1">
      <c r="A12" s="15" t="s">
        <v>404</v>
      </c>
      <c r="B12" s="16" t="s">
        <v>405</v>
      </c>
      <c r="C12" s="17">
        <v>11216300</v>
      </c>
    </row>
    <row r="13" spans="1:3" ht="17.25" customHeight="1">
      <c r="A13" s="15" t="s">
        <v>406</v>
      </c>
      <c r="B13" s="16" t="s">
        <v>407</v>
      </c>
      <c r="C13" s="17">
        <v>340000</v>
      </c>
    </row>
    <row r="14" spans="1:3" ht="17.25" customHeight="1">
      <c r="A14" s="15" t="s">
        <v>408</v>
      </c>
      <c r="B14" s="16" t="s">
        <v>409</v>
      </c>
      <c r="C14" s="17">
        <v>180000</v>
      </c>
    </row>
    <row r="15" spans="1:3" ht="17.25" customHeight="1">
      <c r="A15" s="15" t="s">
        <v>410</v>
      </c>
      <c r="B15" s="16" t="s">
        <v>411</v>
      </c>
      <c r="C15" s="17">
        <v>7000</v>
      </c>
    </row>
    <row r="16" spans="1:3" ht="17.25" customHeight="1">
      <c r="A16" s="23" t="s">
        <v>412</v>
      </c>
      <c r="B16" s="24" t="s">
        <v>413</v>
      </c>
      <c r="C16" s="21">
        <f>8000+70000</f>
        <v>78000</v>
      </c>
    </row>
    <row r="17" spans="1:3" ht="30" customHeight="1">
      <c r="A17" s="15" t="s">
        <v>414</v>
      </c>
      <c r="B17" s="16" t="s">
        <v>415</v>
      </c>
      <c r="C17" s="17">
        <v>86000</v>
      </c>
    </row>
    <row r="18" spans="1:3" ht="17.25" customHeight="1">
      <c r="A18" s="15" t="s">
        <v>416</v>
      </c>
      <c r="B18" s="16" t="s">
        <v>417</v>
      </c>
      <c r="C18" s="18">
        <v>40000</v>
      </c>
    </row>
    <row r="19" spans="1:3" ht="17.25" customHeight="1">
      <c r="A19" s="15" t="s">
        <v>418</v>
      </c>
      <c r="B19" s="19" t="s">
        <v>419</v>
      </c>
      <c r="C19" s="20">
        <v>3000</v>
      </c>
    </row>
    <row r="20" spans="1:3" ht="17.25" customHeight="1">
      <c r="A20" s="15" t="s">
        <v>420</v>
      </c>
      <c r="B20" s="16" t="s">
        <v>421</v>
      </c>
      <c r="C20" s="17">
        <v>5000</v>
      </c>
    </row>
    <row r="21" spans="1:3" ht="17.25" customHeight="1">
      <c r="A21" s="12" t="s">
        <v>69</v>
      </c>
      <c r="B21" s="13" t="s">
        <v>422</v>
      </c>
      <c r="C21" s="14">
        <f>SUM(C22:C32)</f>
        <v>2026785</v>
      </c>
    </row>
    <row r="22" spans="1:3" s="1" customFormat="1" ht="17.25" customHeight="1">
      <c r="A22" s="23" t="s">
        <v>63</v>
      </c>
      <c r="B22" s="24" t="s">
        <v>423</v>
      </c>
      <c r="C22" s="21">
        <f>600000+100000</f>
        <v>700000</v>
      </c>
    </row>
    <row r="23" spans="1:3" ht="17.25" customHeight="1">
      <c r="A23" s="15" t="s">
        <v>64</v>
      </c>
      <c r="B23" s="16" t="s">
        <v>424</v>
      </c>
      <c r="C23" s="18">
        <v>5000</v>
      </c>
    </row>
    <row r="24" spans="1:3" s="1" customFormat="1" ht="17.25" customHeight="1">
      <c r="A24" s="23" t="s">
        <v>65</v>
      </c>
      <c r="B24" s="24" t="s">
        <v>425</v>
      </c>
      <c r="C24" s="21">
        <f>483430+74060+35955+49795</f>
        <v>643240</v>
      </c>
    </row>
    <row r="25" spans="1:3" ht="17.25" customHeight="1">
      <c r="A25" s="15" t="s">
        <v>66</v>
      </c>
      <c r="B25" s="16" t="s">
        <v>426</v>
      </c>
      <c r="C25" s="17">
        <v>20000</v>
      </c>
    </row>
    <row r="26" spans="1:3" ht="17.25" customHeight="1">
      <c r="A26" s="15" t="s">
        <v>67</v>
      </c>
      <c r="B26" s="16" t="s">
        <v>427</v>
      </c>
      <c r="C26" s="17">
        <v>20000</v>
      </c>
    </row>
    <row r="27" spans="1:3" ht="17.25" customHeight="1">
      <c r="A27" s="15" t="s">
        <v>68</v>
      </c>
      <c r="B27" s="16" t="s">
        <v>428</v>
      </c>
      <c r="C27" s="17">
        <v>20000</v>
      </c>
    </row>
    <row r="28" spans="1:3" ht="17.25" customHeight="1">
      <c r="A28" s="15" t="s">
        <v>83</v>
      </c>
      <c r="B28" s="16" t="s">
        <v>429</v>
      </c>
      <c r="C28" s="17">
        <v>20000</v>
      </c>
    </row>
    <row r="29" spans="1:3" ht="17.25" customHeight="1">
      <c r="A29" s="15" t="s">
        <v>84</v>
      </c>
      <c r="B29" s="16" t="s">
        <v>430</v>
      </c>
      <c r="C29" s="17">
        <f>77420+1000+400+500+900+200+700+2000</f>
        <v>83120</v>
      </c>
    </row>
    <row r="30" spans="1:3" s="1" customFormat="1" ht="17.25" customHeight="1">
      <c r="A30" s="23" t="s">
        <v>85</v>
      </c>
      <c r="B30" s="24" t="s">
        <v>431</v>
      </c>
      <c r="C30" s="21">
        <f>69280+2000</f>
        <v>71280</v>
      </c>
    </row>
    <row r="31" spans="1:3" s="1" customFormat="1" ht="17.25" customHeight="1">
      <c r="A31" s="23" t="s">
        <v>86</v>
      </c>
      <c r="B31" s="24" t="s">
        <v>432</v>
      </c>
      <c r="C31" s="21">
        <f>93495+110-2500</f>
        <v>91105</v>
      </c>
    </row>
    <row r="32" spans="1:3" ht="17.25" customHeight="1">
      <c r="A32" s="15" t="s">
        <v>87</v>
      </c>
      <c r="B32" s="22" t="s">
        <v>433</v>
      </c>
      <c r="C32" s="17">
        <v>353040</v>
      </c>
    </row>
    <row r="33" spans="1:3" ht="17.25" customHeight="1">
      <c r="A33" s="12" t="s">
        <v>71</v>
      </c>
      <c r="B33" s="13" t="s">
        <v>434</v>
      </c>
      <c r="C33" s="14">
        <f>SUM(C34:C43)</f>
        <v>10464493</v>
      </c>
    </row>
    <row r="34" spans="1:3" s="1" customFormat="1" ht="17.25" customHeight="1">
      <c r="A34" s="23" t="s">
        <v>88</v>
      </c>
      <c r="B34" s="24" t="s">
        <v>435</v>
      </c>
      <c r="C34" s="21">
        <f>2003716+44000-2700</f>
        <v>2045016</v>
      </c>
    </row>
    <row r="35" spans="1:3" ht="17.25" customHeight="1">
      <c r="A35" s="15" t="s">
        <v>436</v>
      </c>
      <c r="B35" s="16" t="s">
        <v>437</v>
      </c>
      <c r="C35" s="17">
        <v>5718900</v>
      </c>
    </row>
    <row r="36" spans="1:3" s="1" customFormat="1" ht="17.25" customHeight="1">
      <c r="A36" s="23" t="s">
        <v>438</v>
      </c>
      <c r="B36" s="24" t="s">
        <v>439</v>
      </c>
      <c r="C36" s="21">
        <f>66000+10200</f>
        <v>76200</v>
      </c>
    </row>
    <row r="37" spans="1:3" ht="17.25" customHeight="1">
      <c r="A37" s="15" t="s">
        <v>440</v>
      </c>
      <c r="B37" s="16" t="s">
        <v>441</v>
      </c>
      <c r="C37" s="17">
        <f>14000+300</f>
        <v>14300</v>
      </c>
    </row>
    <row r="38" spans="1:3" ht="17.25" customHeight="1">
      <c r="A38" s="15" t="s">
        <v>442</v>
      </c>
      <c r="B38" s="16" t="s">
        <v>443</v>
      </c>
      <c r="C38" s="17">
        <f>376000-27000</f>
        <v>349000</v>
      </c>
    </row>
    <row r="39" spans="1:3" ht="17.25" customHeight="1">
      <c r="A39" s="15" t="s">
        <v>444</v>
      </c>
      <c r="B39" s="16" t="s">
        <v>445</v>
      </c>
      <c r="C39" s="17">
        <v>722000</v>
      </c>
    </row>
    <row r="40" spans="1:3" ht="32.25" customHeight="1">
      <c r="A40" s="15" t="s">
        <v>446</v>
      </c>
      <c r="B40" s="16" t="s">
        <v>447</v>
      </c>
      <c r="C40" s="17">
        <f>146200+92904</f>
        <v>239104</v>
      </c>
    </row>
    <row r="41" spans="1:3" ht="17.25" customHeight="1">
      <c r="A41" s="15" t="s">
        <v>448</v>
      </c>
      <c r="B41" s="16" t="s">
        <v>449</v>
      </c>
      <c r="C41" s="17">
        <f>965400+231900</f>
        <v>1197300</v>
      </c>
    </row>
    <row r="42" spans="1:3" ht="17.25" customHeight="1">
      <c r="A42" s="15" t="s">
        <v>518</v>
      </c>
      <c r="B42" s="16" t="s">
        <v>520</v>
      </c>
      <c r="C42" s="17">
        <v>80000</v>
      </c>
    </row>
    <row r="43" spans="1:3" ht="17.25" customHeight="1">
      <c r="A43" s="15" t="s">
        <v>519</v>
      </c>
      <c r="B43" s="16" t="s">
        <v>521</v>
      </c>
      <c r="C43" s="17">
        <v>22673</v>
      </c>
    </row>
    <row r="44" spans="1:3" s="6" customFormat="1" ht="17.25" customHeight="1">
      <c r="A44" s="12" t="s">
        <v>72</v>
      </c>
      <c r="B44" s="13" t="s">
        <v>450</v>
      </c>
      <c r="C44" s="14">
        <f>348000+200000</f>
        <v>548000</v>
      </c>
    </row>
    <row r="45" spans="1:3" s="6" customFormat="1" ht="17.25" customHeight="1">
      <c r="A45" s="12" t="s">
        <v>73</v>
      </c>
      <c r="B45" s="13" t="s">
        <v>451</v>
      </c>
      <c r="C45" s="14">
        <f>SUM(C46:C49)</f>
        <v>1058159</v>
      </c>
    </row>
    <row r="46" spans="1:3" ht="17.25" customHeight="1">
      <c r="A46" s="15" t="s">
        <v>61</v>
      </c>
      <c r="B46" s="16" t="s">
        <v>452</v>
      </c>
      <c r="C46" s="25">
        <v>201131</v>
      </c>
    </row>
    <row r="47" spans="1:3" s="6" customFormat="1" ht="17.25" customHeight="1">
      <c r="A47" s="15" t="s">
        <v>62</v>
      </c>
      <c r="B47" s="16" t="s">
        <v>453</v>
      </c>
      <c r="C47" s="25">
        <f>901300-201131</f>
        <v>700169</v>
      </c>
    </row>
    <row r="48" spans="1:3" s="6" customFormat="1" ht="17.25" customHeight="1">
      <c r="A48" s="15" t="s">
        <v>268</v>
      </c>
      <c r="B48" s="16" t="s">
        <v>454</v>
      </c>
      <c r="C48" s="25">
        <v>36019</v>
      </c>
    </row>
    <row r="49" spans="1:3" s="6" customFormat="1" ht="17.25" customHeight="1">
      <c r="A49" s="15" t="s">
        <v>515</v>
      </c>
      <c r="B49" s="16" t="s">
        <v>516</v>
      </c>
      <c r="C49" s="25">
        <v>120840</v>
      </c>
    </row>
    <row r="50" spans="1:3" s="6" customFormat="1" ht="17.25" customHeight="1">
      <c r="A50" s="12"/>
      <c r="B50" s="13" t="s">
        <v>455</v>
      </c>
      <c r="C50" s="14">
        <f>C11+C21+C33+C44+C45</f>
        <v>26052737</v>
      </c>
    </row>
    <row r="51" spans="1:3" s="6" customFormat="1" ht="13.5" customHeight="1">
      <c r="A51" s="26"/>
      <c r="B51" s="51"/>
      <c r="C51" s="28"/>
    </row>
    <row r="52" spans="1:3" s="6" customFormat="1" ht="13.5" customHeight="1">
      <c r="A52" s="26"/>
      <c r="B52" s="27"/>
      <c r="C52" s="28"/>
    </row>
    <row r="53" ht="14.25">
      <c r="B53" s="8" t="s">
        <v>456</v>
      </c>
    </row>
    <row r="54" ht="14.25">
      <c r="B54" s="29"/>
    </row>
  </sheetData>
  <sheetProtection/>
  <mergeCells count="3">
    <mergeCell ref="B1:C1"/>
    <mergeCell ref="B2:C2"/>
    <mergeCell ref="A8:C8"/>
  </mergeCells>
  <printOptions/>
  <pageMargins left="0.7086614173228347" right="0" top="0.7874015748031497" bottom="0.7874015748031497" header="0" footer="0"/>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F55"/>
  <sheetViews>
    <sheetView showZeros="0" zoomScalePageLayoutView="0" workbookViewId="0" topLeftCell="A34">
      <selection activeCell="C48" sqref="C48"/>
    </sheetView>
  </sheetViews>
  <sheetFormatPr defaultColWidth="9.140625" defaultRowHeight="12.75"/>
  <cols>
    <col min="1" max="1" width="6.00390625" style="52" customWidth="1"/>
    <col min="2" max="2" width="71.00390625" style="54" customWidth="1"/>
    <col min="3" max="3" width="15.00390625" style="59" customWidth="1"/>
    <col min="4" max="4" width="3.421875" style="54" customWidth="1"/>
    <col min="5" max="16384" width="9.140625" style="54" customWidth="1"/>
  </cols>
  <sheetData>
    <row r="1" spans="2:3" ht="15.75">
      <c r="B1" s="204" t="s">
        <v>397</v>
      </c>
      <c r="C1" s="204"/>
    </row>
    <row r="2" spans="2:3" ht="15.75">
      <c r="B2" s="204" t="s">
        <v>398</v>
      </c>
      <c r="C2" s="204"/>
    </row>
    <row r="3" spans="2:3" ht="15.75">
      <c r="B3" s="53" t="s">
        <v>531</v>
      </c>
      <c r="C3" s="53"/>
    </row>
    <row r="4" spans="2:3" ht="15.75">
      <c r="B4" s="53" t="s">
        <v>457</v>
      </c>
      <c r="C4" s="53"/>
    </row>
    <row r="5" spans="2:3" ht="15.75">
      <c r="B5" s="53" t="s">
        <v>458</v>
      </c>
      <c r="C5" s="55"/>
    </row>
    <row r="6" spans="2:3" ht="10.5" customHeight="1">
      <c r="B6" s="56"/>
      <c r="C6" s="55"/>
    </row>
    <row r="7" spans="2:3" ht="17.25" customHeight="1">
      <c r="B7" s="57"/>
      <c r="C7" s="58"/>
    </row>
    <row r="8" spans="1:3" ht="31.5" customHeight="1">
      <c r="A8" s="205" t="s">
        <v>459</v>
      </c>
      <c r="B8" s="205"/>
      <c r="C8" s="205"/>
    </row>
    <row r="9" ht="18.75" customHeight="1"/>
    <row r="10" spans="1:3" ht="28.5" customHeight="1">
      <c r="A10" s="60" t="s">
        <v>57</v>
      </c>
      <c r="B10" s="60" t="s">
        <v>460</v>
      </c>
      <c r="C10" s="60" t="s">
        <v>402</v>
      </c>
    </row>
    <row r="11" spans="1:5" ht="15.75">
      <c r="A11" s="60" t="s">
        <v>70</v>
      </c>
      <c r="B11" s="61" t="s">
        <v>461</v>
      </c>
      <c r="C11" s="62">
        <f>SUM(C12:C19)</f>
        <v>26052737</v>
      </c>
      <c r="E11" s="63"/>
    </row>
    <row r="12" spans="1:3" ht="15.75">
      <c r="A12" s="64" t="s">
        <v>404</v>
      </c>
      <c r="B12" s="65" t="s">
        <v>462</v>
      </c>
      <c r="C12" s="66">
        <f>3870352+20420</f>
        <v>3890772</v>
      </c>
    </row>
    <row r="13" spans="1:3" ht="15.75">
      <c r="A13" s="64" t="s">
        <v>406</v>
      </c>
      <c r="B13" s="65" t="s">
        <v>463</v>
      </c>
      <c r="C13" s="66">
        <f>471005+74060</f>
        <v>545065</v>
      </c>
    </row>
    <row r="14" spans="1:3" ht="15.75">
      <c r="A14" s="67" t="s">
        <v>408</v>
      </c>
      <c r="B14" s="68" t="s">
        <v>464</v>
      </c>
      <c r="C14" s="69">
        <f>51893</f>
        <v>51893</v>
      </c>
    </row>
    <row r="15" spans="1:3" ht="15.75">
      <c r="A15" s="64" t="s">
        <v>410</v>
      </c>
      <c r="B15" s="65" t="s">
        <v>465</v>
      </c>
      <c r="C15" s="70">
        <f>3125714+72880</f>
        <v>3198594</v>
      </c>
    </row>
    <row r="16" spans="1:3" ht="15.75">
      <c r="A16" s="64" t="s">
        <v>412</v>
      </c>
      <c r="B16" s="65" t="s">
        <v>466</v>
      </c>
      <c r="C16" s="70">
        <f>1214449+74300</f>
        <v>1288749</v>
      </c>
    </row>
    <row r="17" spans="1:3" ht="15.75">
      <c r="A17" s="64" t="s">
        <v>414</v>
      </c>
      <c r="B17" s="65" t="s">
        <v>467</v>
      </c>
      <c r="C17" s="70">
        <f>2238518+9200</f>
        <v>2247718</v>
      </c>
    </row>
    <row r="18" spans="1:3" ht="15.75">
      <c r="A18" s="64" t="s">
        <v>416</v>
      </c>
      <c r="B18" s="65" t="s">
        <v>468</v>
      </c>
      <c r="C18" s="66">
        <f>11172813+14010</f>
        <v>11186823</v>
      </c>
    </row>
    <row r="19" spans="1:3" ht="15.75" customHeight="1">
      <c r="A19" s="64" t="s">
        <v>418</v>
      </c>
      <c r="B19" s="65" t="s">
        <v>469</v>
      </c>
      <c r="C19" s="66">
        <f>3527073+116050</f>
        <v>3643123</v>
      </c>
    </row>
    <row r="20" spans="1:3" ht="15.75">
      <c r="A20" s="71" t="s">
        <v>69</v>
      </c>
      <c r="B20" s="72" t="s">
        <v>470</v>
      </c>
      <c r="C20" s="73">
        <f>14020459+70000</f>
        <v>14090459</v>
      </c>
    </row>
    <row r="21" spans="1:3" ht="15.75">
      <c r="A21" s="67" t="s">
        <v>63</v>
      </c>
      <c r="B21" s="74" t="s">
        <v>471</v>
      </c>
      <c r="C21" s="69">
        <f>C20-C23-C24</f>
        <v>12613469</v>
      </c>
    </row>
    <row r="22" spans="1:3" ht="15.75">
      <c r="A22" s="64" t="s">
        <v>64</v>
      </c>
      <c r="B22" s="75" t="s">
        <v>472</v>
      </c>
      <c r="C22" s="66">
        <f>5155320+2900</f>
        <v>5158220</v>
      </c>
    </row>
    <row r="23" spans="1:3" ht="15.75">
      <c r="A23" s="64" t="s">
        <v>65</v>
      </c>
      <c r="B23" s="75" t="s">
        <v>26</v>
      </c>
      <c r="C23" s="66">
        <f>600170-25000-5000+1600+800+2150+970</f>
        <v>575690</v>
      </c>
    </row>
    <row r="24" spans="1:3" ht="15.75">
      <c r="A24" s="67" t="s">
        <v>66</v>
      </c>
      <c r="B24" s="74" t="s">
        <v>372</v>
      </c>
      <c r="C24" s="69">
        <v>901300</v>
      </c>
    </row>
    <row r="25" spans="1:3" ht="31.5">
      <c r="A25" s="71" t="s">
        <v>71</v>
      </c>
      <c r="B25" s="72" t="s">
        <v>473</v>
      </c>
      <c r="C25" s="73">
        <f>2003716-2700-700-1000+15700+30000</f>
        <v>2045016</v>
      </c>
    </row>
    <row r="26" spans="1:3" ht="15.75">
      <c r="A26" s="64" t="s">
        <v>88</v>
      </c>
      <c r="B26" s="75" t="s">
        <v>471</v>
      </c>
      <c r="C26" s="66">
        <f>C25-C28</f>
        <v>2043516</v>
      </c>
    </row>
    <row r="27" spans="1:3" ht="15.75">
      <c r="A27" s="64" t="s">
        <v>436</v>
      </c>
      <c r="B27" s="75" t="s">
        <v>472</v>
      </c>
      <c r="C27" s="66">
        <f>649576+9000-1600</f>
        <v>656976</v>
      </c>
    </row>
    <row r="28" spans="1:3" ht="15.75">
      <c r="A28" s="67" t="s">
        <v>438</v>
      </c>
      <c r="B28" s="74" t="s">
        <v>26</v>
      </c>
      <c r="C28" s="76">
        <v>1500</v>
      </c>
    </row>
    <row r="29" spans="1:3" ht="15.75" customHeight="1">
      <c r="A29" s="60" t="s">
        <v>72</v>
      </c>
      <c r="B29" s="77" t="s">
        <v>474</v>
      </c>
      <c r="C29" s="62">
        <f>5718900</f>
        <v>5718900</v>
      </c>
    </row>
    <row r="30" spans="1:3" ht="15.75">
      <c r="A30" s="64" t="s">
        <v>59</v>
      </c>
      <c r="B30" s="75" t="s">
        <v>471</v>
      </c>
      <c r="C30" s="66">
        <f>C29-C32</f>
        <v>5693725</v>
      </c>
    </row>
    <row r="31" spans="1:3" ht="15.75">
      <c r="A31" s="64" t="s">
        <v>60</v>
      </c>
      <c r="B31" s="75" t="s">
        <v>472</v>
      </c>
      <c r="C31" s="70">
        <f>4247958-81950+59807</f>
        <v>4225815</v>
      </c>
    </row>
    <row r="32" spans="1:3" ht="15.75">
      <c r="A32" s="64" t="s">
        <v>197</v>
      </c>
      <c r="B32" s="75" t="s">
        <v>26</v>
      </c>
      <c r="C32" s="70">
        <f>24450+725</f>
        <v>25175</v>
      </c>
    </row>
    <row r="33" spans="1:3" ht="17.25" customHeight="1">
      <c r="A33" s="60" t="s">
        <v>73</v>
      </c>
      <c r="B33" s="77" t="s">
        <v>475</v>
      </c>
      <c r="C33" s="62">
        <f>C34+C35</f>
        <v>548000</v>
      </c>
    </row>
    <row r="34" spans="1:3" ht="17.25" customHeight="1">
      <c r="A34" s="67" t="s">
        <v>61</v>
      </c>
      <c r="B34" s="74" t="s">
        <v>471</v>
      </c>
      <c r="C34" s="69">
        <v>200000</v>
      </c>
    </row>
    <row r="35" spans="1:3" ht="15.75">
      <c r="A35" s="67" t="s">
        <v>62</v>
      </c>
      <c r="B35" s="74" t="s">
        <v>26</v>
      </c>
      <c r="C35" s="69">
        <v>348000</v>
      </c>
    </row>
    <row r="36" spans="1:6" s="63" customFormat="1" ht="80.25" customHeight="1">
      <c r="A36" s="71" t="s">
        <v>74</v>
      </c>
      <c r="B36" s="72" t="s">
        <v>530</v>
      </c>
      <c r="C36" s="78">
        <f>575507+10200+74060+35955+49795</f>
        <v>745517</v>
      </c>
      <c r="F36" s="54"/>
    </row>
    <row r="37" spans="1:3" ht="15.75">
      <c r="A37" s="67" t="s">
        <v>89</v>
      </c>
      <c r="B37" s="74" t="s">
        <v>471</v>
      </c>
      <c r="C37" s="69">
        <f>C36-C39</f>
        <v>378277</v>
      </c>
    </row>
    <row r="38" spans="1:3" ht="15.75">
      <c r="A38" s="64" t="s">
        <v>306</v>
      </c>
      <c r="B38" s="75" t="s">
        <v>472</v>
      </c>
      <c r="C38" s="66">
        <f>182775+4408</f>
        <v>187183</v>
      </c>
    </row>
    <row r="39" spans="1:3" ht="15.75">
      <c r="A39" s="64" t="s">
        <v>316</v>
      </c>
      <c r="B39" s="75" t="s">
        <v>26</v>
      </c>
      <c r="C39" s="70">
        <f>207430+74060+35955+49795</f>
        <v>367240</v>
      </c>
    </row>
    <row r="40" spans="1:6" s="63" customFormat="1" ht="15.75">
      <c r="A40" s="60" t="s">
        <v>75</v>
      </c>
      <c r="B40" s="77" t="s">
        <v>476</v>
      </c>
      <c r="C40" s="79">
        <f>349000</f>
        <v>349000</v>
      </c>
      <c r="F40" s="54"/>
    </row>
    <row r="41" spans="1:3" ht="15.75">
      <c r="A41" s="67" t="s">
        <v>90</v>
      </c>
      <c r="B41" s="74" t="s">
        <v>26</v>
      </c>
      <c r="C41" s="76">
        <f>376000-27000</f>
        <v>349000</v>
      </c>
    </row>
    <row r="42" spans="1:3" ht="32.25" customHeight="1">
      <c r="A42" s="71" t="s">
        <v>76</v>
      </c>
      <c r="B42" s="72" t="s">
        <v>477</v>
      </c>
      <c r="C42" s="73">
        <f>1258935+110+2000-2500+100000</f>
        <v>1358545</v>
      </c>
    </row>
    <row r="43" spans="1:3" ht="15.75">
      <c r="A43" s="67" t="s">
        <v>93</v>
      </c>
      <c r="B43" s="74" t="s">
        <v>471</v>
      </c>
      <c r="C43" s="69">
        <f>C42-C45</f>
        <v>1344505</v>
      </c>
    </row>
    <row r="44" spans="1:3" ht="15.75">
      <c r="A44" s="67" t="s">
        <v>94</v>
      </c>
      <c r="B44" s="74" t="s">
        <v>472</v>
      </c>
      <c r="C44" s="69">
        <f>40975</f>
        <v>40975</v>
      </c>
    </row>
    <row r="45" spans="1:3" ht="15.75">
      <c r="A45" s="64" t="s">
        <v>95</v>
      </c>
      <c r="B45" s="75" t="s">
        <v>26</v>
      </c>
      <c r="C45" s="66">
        <f>12040+2000</f>
        <v>14040</v>
      </c>
    </row>
    <row r="46" spans="1:6" s="63" customFormat="1" ht="15.75">
      <c r="A46" s="60" t="s">
        <v>77</v>
      </c>
      <c r="B46" s="77" t="s">
        <v>478</v>
      </c>
      <c r="C46" s="79">
        <f>SUM(C47:C48)</f>
        <v>1197300</v>
      </c>
      <c r="F46" s="54"/>
    </row>
    <row r="47" spans="1:3" ht="15.75">
      <c r="A47" s="64" t="s">
        <v>479</v>
      </c>
      <c r="B47" s="75" t="s">
        <v>471</v>
      </c>
      <c r="C47" s="80">
        <f>368500+97000</f>
        <v>465500</v>
      </c>
    </row>
    <row r="48" spans="1:3" ht="15.75">
      <c r="A48" s="64" t="s">
        <v>480</v>
      </c>
      <c r="B48" s="75" t="s">
        <v>26</v>
      </c>
      <c r="C48" s="70">
        <f>828800-97000</f>
        <v>731800</v>
      </c>
    </row>
    <row r="49" spans="1:3" ht="15.75">
      <c r="A49" s="81"/>
      <c r="B49" s="82"/>
      <c r="C49" s="83"/>
    </row>
    <row r="50" spans="2:6" ht="14.25">
      <c r="B50" s="84"/>
      <c r="C50" s="85"/>
      <c r="F50" s="86"/>
    </row>
    <row r="51" spans="2:6" ht="14.25">
      <c r="B51" s="87" t="s">
        <v>532</v>
      </c>
      <c r="F51" s="86"/>
    </row>
    <row r="52" spans="2:6" ht="14.25">
      <c r="B52" s="84"/>
      <c r="F52" s="86"/>
    </row>
    <row r="53" spans="2:6" ht="14.25">
      <c r="B53" s="84"/>
      <c r="F53" s="86"/>
    </row>
    <row r="54" spans="3:6" ht="14.25">
      <c r="C54" s="85"/>
      <c r="D54" s="85"/>
      <c r="E54" s="85"/>
      <c r="F54" s="88"/>
    </row>
    <row r="55" spans="3:6" ht="14.25">
      <c r="C55" s="85"/>
      <c r="D55" s="85"/>
      <c r="E55" s="85"/>
      <c r="F55" s="88"/>
    </row>
  </sheetData>
  <sheetProtection/>
  <mergeCells count="3">
    <mergeCell ref="B1:C1"/>
    <mergeCell ref="B2:C2"/>
    <mergeCell ref="A8:C8"/>
  </mergeCells>
  <printOptions/>
  <pageMargins left="0.7086614173228347" right="0" top="0.7874015748031497" bottom="0.7874015748031497" header="0.31496062992125984" footer="0.3149606299212598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Q284"/>
  <sheetViews>
    <sheetView showZeros="0" tabSelected="1" zoomScalePageLayoutView="0" workbookViewId="0" topLeftCell="A1">
      <selection activeCell="Y13" sqref="Y13"/>
    </sheetView>
  </sheetViews>
  <sheetFormatPr defaultColWidth="9.140625" defaultRowHeight="12.75"/>
  <cols>
    <col min="1" max="1" width="4.7109375" style="198" customWidth="1"/>
    <col min="2" max="2" width="43.8515625" style="199" customWidth="1"/>
    <col min="3" max="3" width="10.28125" style="200" customWidth="1"/>
    <col min="4" max="4" width="10.57421875" style="201" customWidth="1"/>
    <col min="5" max="5" width="10.00390625" style="201" customWidth="1"/>
    <col min="6" max="6" width="9.8515625" style="200" customWidth="1"/>
    <col min="7" max="7" width="9.57421875" style="201" customWidth="1"/>
    <col min="8" max="8" width="9.8515625" style="201" customWidth="1"/>
    <col min="9" max="10" width="10.00390625" style="200" customWidth="1"/>
    <col min="11" max="11" width="9.8515625" style="201" customWidth="1"/>
    <col min="12" max="12" width="9.00390625" style="200" customWidth="1"/>
    <col min="13" max="13" width="9.421875" style="201" customWidth="1"/>
    <col min="14" max="14" width="9.7109375" style="201" customWidth="1"/>
    <col min="15" max="15" width="10.7109375" style="201" customWidth="1"/>
    <col min="16" max="16" width="2.8515625" style="201" customWidth="1"/>
    <col min="17" max="17" width="12.00390625" style="201" customWidth="1"/>
    <col min="18" max="16384" width="9.140625" style="201" customWidth="1"/>
  </cols>
  <sheetData>
    <row r="1" spans="1:12" s="96" customFormat="1" ht="11.25" customHeight="1">
      <c r="A1" s="93"/>
      <c r="B1" s="94"/>
      <c r="C1" s="95"/>
      <c r="F1" s="95"/>
      <c r="I1" s="95"/>
      <c r="J1" s="95"/>
      <c r="K1" s="95"/>
      <c r="L1" s="95"/>
    </row>
    <row r="2" spans="1:12" s="96" customFormat="1" ht="15" customHeight="1">
      <c r="A2" s="93"/>
      <c r="B2" s="94"/>
      <c r="C2" s="95"/>
      <c r="F2" s="95"/>
      <c r="I2" s="95"/>
      <c r="J2" s="95"/>
      <c r="K2" s="96" t="s">
        <v>13</v>
      </c>
      <c r="L2" s="95"/>
    </row>
    <row r="3" spans="1:13" s="96" customFormat="1" ht="15" customHeight="1">
      <c r="A3" s="93"/>
      <c r="B3" s="94"/>
      <c r="C3" s="95"/>
      <c r="D3" s="95"/>
      <c r="F3" s="95"/>
      <c r="G3" s="95"/>
      <c r="I3" s="95"/>
      <c r="J3" s="95"/>
      <c r="K3" s="96" t="s">
        <v>394</v>
      </c>
      <c r="L3" s="95"/>
      <c r="M3" s="95"/>
    </row>
    <row r="4" spans="1:13" s="96" customFormat="1" ht="15" customHeight="1">
      <c r="A4" s="93"/>
      <c r="B4" s="94"/>
      <c r="C4" s="95"/>
      <c r="D4" s="95"/>
      <c r="F4" s="95"/>
      <c r="G4" s="95"/>
      <c r="I4" s="95"/>
      <c r="J4" s="95"/>
      <c r="K4" s="96" t="s">
        <v>533</v>
      </c>
      <c r="L4" s="95"/>
      <c r="M4" s="95"/>
    </row>
    <row r="5" spans="1:12" s="96" customFormat="1" ht="15" customHeight="1">
      <c r="A5" s="93"/>
      <c r="B5" s="94"/>
      <c r="C5" s="95"/>
      <c r="F5" s="95"/>
      <c r="I5" s="95"/>
      <c r="J5" s="95"/>
      <c r="K5" s="96" t="s">
        <v>222</v>
      </c>
      <c r="L5" s="95"/>
    </row>
    <row r="6" spans="1:12" s="96" customFormat="1" ht="12.75" customHeight="1">
      <c r="A6" s="93"/>
      <c r="B6" s="94"/>
      <c r="C6" s="95"/>
      <c r="F6" s="95"/>
      <c r="I6" s="95"/>
      <c r="J6" s="95"/>
      <c r="L6" s="95"/>
    </row>
    <row r="7" spans="1:11" s="96" customFormat="1" ht="15" customHeight="1">
      <c r="A7" s="93"/>
      <c r="B7" s="219" t="s">
        <v>312</v>
      </c>
      <c r="C7" s="219"/>
      <c r="D7" s="219"/>
      <c r="E7" s="219"/>
      <c r="F7" s="219"/>
      <c r="G7" s="219"/>
      <c r="H7" s="219"/>
      <c r="I7" s="219"/>
      <c r="J7" s="219"/>
      <c r="K7" s="219"/>
    </row>
    <row r="8" spans="1:15" s="96" customFormat="1" ht="11.25" customHeight="1">
      <c r="A8" s="93"/>
      <c r="B8" s="97"/>
      <c r="C8" s="95"/>
      <c r="D8" s="95"/>
      <c r="F8" s="95"/>
      <c r="G8" s="95"/>
      <c r="I8" s="95"/>
      <c r="J8" s="95"/>
      <c r="K8" s="95"/>
      <c r="L8" s="95"/>
      <c r="M8" s="95"/>
      <c r="O8" s="96" t="s">
        <v>224</v>
      </c>
    </row>
    <row r="9" spans="1:15" s="98" customFormat="1" ht="39.75" customHeight="1">
      <c r="A9" s="220" t="s">
        <v>25</v>
      </c>
      <c r="B9" s="221" t="s">
        <v>82</v>
      </c>
      <c r="C9" s="215" t="s">
        <v>27</v>
      </c>
      <c r="D9" s="216"/>
      <c r="E9" s="217"/>
      <c r="F9" s="215" t="s">
        <v>336</v>
      </c>
      <c r="G9" s="216"/>
      <c r="H9" s="217"/>
      <c r="I9" s="215" t="s">
        <v>395</v>
      </c>
      <c r="J9" s="216"/>
      <c r="K9" s="217"/>
      <c r="L9" s="215" t="s">
        <v>216</v>
      </c>
      <c r="M9" s="216"/>
      <c r="N9" s="217"/>
      <c r="O9" s="213" t="s">
        <v>29</v>
      </c>
    </row>
    <row r="10" spans="1:15" s="99" customFormat="1" ht="15" customHeight="1">
      <c r="A10" s="220"/>
      <c r="B10" s="222"/>
      <c r="C10" s="213" t="s">
        <v>0</v>
      </c>
      <c r="D10" s="215" t="s">
        <v>1</v>
      </c>
      <c r="E10" s="217"/>
      <c r="F10" s="213" t="s">
        <v>0</v>
      </c>
      <c r="G10" s="215" t="s">
        <v>1</v>
      </c>
      <c r="H10" s="217"/>
      <c r="I10" s="213" t="s">
        <v>0</v>
      </c>
      <c r="J10" s="215" t="s">
        <v>1</v>
      </c>
      <c r="K10" s="217"/>
      <c r="L10" s="213" t="s">
        <v>0</v>
      </c>
      <c r="M10" s="215" t="s">
        <v>1</v>
      </c>
      <c r="N10" s="217"/>
      <c r="O10" s="218"/>
    </row>
    <row r="11" spans="1:15" s="99" customFormat="1" ht="15" customHeight="1">
      <c r="A11" s="220"/>
      <c r="B11" s="222"/>
      <c r="C11" s="218"/>
      <c r="D11" s="213" t="s">
        <v>28</v>
      </c>
      <c r="E11" s="213" t="s">
        <v>26</v>
      </c>
      <c r="F11" s="218"/>
      <c r="G11" s="213" t="s">
        <v>28</v>
      </c>
      <c r="H11" s="213" t="s">
        <v>26</v>
      </c>
      <c r="I11" s="218"/>
      <c r="J11" s="213" t="s">
        <v>28</v>
      </c>
      <c r="K11" s="213" t="s">
        <v>26</v>
      </c>
      <c r="L11" s="218"/>
      <c r="M11" s="213" t="s">
        <v>28</v>
      </c>
      <c r="N11" s="213" t="s">
        <v>26</v>
      </c>
      <c r="O11" s="218"/>
    </row>
    <row r="12" spans="1:15" s="99" customFormat="1" ht="39" customHeight="1">
      <c r="A12" s="220"/>
      <c r="B12" s="223"/>
      <c r="C12" s="214"/>
      <c r="D12" s="214"/>
      <c r="E12" s="214"/>
      <c r="F12" s="214"/>
      <c r="G12" s="214"/>
      <c r="H12" s="214"/>
      <c r="I12" s="214"/>
      <c r="J12" s="214"/>
      <c r="K12" s="214"/>
      <c r="L12" s="214"/>
      <c r="M12" s="214"/>
      <c r="N12" s="214"/>
      <c r="O12" s="214"/>
    </row>
    <row r="13" spans="1:15" s="103" customFormat="1" ht="14.25" customHeight="1">
      <c r="A13" s="100">
        <v>1</v>
      </c>
      <c r="B13" s="101">
        <v>2</v>
      </c>
      <c r="C13" s="102">
        <v>3</v>
      </c>
      <c r="D13" s="102">
        <v>4</v>
      </c>
      <c r="E13" s="102">
        <v>5</v>
      </c>
      <c r="F13" s="102">
        <v>6</v>
      </c>
      <c r="G13" s="102">
        <v>7</v>
      </c>
      <c r="H13" s="102">
        <v>8</v>
      </c>
      <c r="I13" s="102">
        <v>9</v>
      </c>
      <c r="J13" s="102">
        <v>10</v>
      </c>
      <c r="K13" s="102">
        <v>11</v>
      </c>
      <c r="L13" s="102">
        <v>12</v>
      </c>
      <c r="M13" s="102">
        <v>13</v>
      </c>
      <c r="N13" s="102">
        <v>14</v>
      </c>
      <c r="O13" s="102">
        <v>15</v>
      </c>
    </row>
    <row r="14" spans="1:15" s="105" customFormat="1" ht="15" customHeight="1">
      <c r="A14" s="104"/>
      <c r="B14" s="206" t="s">
        <v>378</v>
      </c>
      <c r="C14" s="207"/>
      <c r="D14" s="207"/>
      <c r="E14" s="207"/>
      <c r="F14" s="207"/>
      <c r="G14" s="207"/>
      <c r="H14" s="207"/>
      <c r="I14" s="207"/>
      <c r="J14" s="207"/>
      <c r="K14" s="207"/>
      <c r="L14" s="207"/>
      <c r="M14" s="207"/>
      <c r="N14" s="207"/>
      <c r="O14" s="208"/>
    </row>
    <row r="15" spans="1:15" s="109" customFormat="1" ht="15.75" customHeight="1">
      <c r="A15" s="104"/>
      <c r="B15" s="106" t="s">
        <v>41</v>
      </c>
      <c r="C15" s="107">
        <f>C16+C17+C41+C43</f>
        <v>2262290</v>
      </c>
      <c r="D15" s="107">
        <f aca="true" t="shared" si="0" ref="D15:N15">D16+D17+D41+D43</f>
        <v>1199100</v>
      </c>
      <c r="E15" s="107">
        <f t="shared" si="0"/>
        <v>110190</v>
      </c>
      <c r="F15" s="107">
        <f t="shared" si="0"/>
        <v>411522</v>
      </c>
      <c r="G15" s="107">
        <f t="shared" si="0"/>
        <v>254466</v>
      </c>
      <c r="H15" s="107">
        <f t="shared" si="0"/>
        <v>1500</v>
      </c>
      <c r="I15" s="107">
        <f t="shared" si="0"/>
        <v>0</v>
      </c>
      <c r="J15" s="107">
        <f t="shared" si="0"/>
        <v>0</v>
      </c>
      <c r="K15" s="107">
        <f t="shared" si="0"/>
        <v>0</v>
      </c>
      <c r="L15" s="107">
        <f t="shared" si="0"/>
        <v>54630</v>
      </c>
      <c r="M15" s="107">
        <f t="shared" si="0"/>
        <v>0</v>
      </c>
      <c r="N15" s="107">
        <f t="shared" si="0"/>
        <v>4130</v>
      </c>
      <c r="O15" s="108">
        <f aca="true" t="shared" si="1" ref="O15:O46">C15+F15+I15+L15</f>
        <v>2728442</v>
      </c>
    </row>
    <row r="16" spans="1:15" s="105" customFormat="1" ht="15.75" customHeight="1">
      <c r="A16" s="104" t="s">
        <v>70</v>
      </c>
      <c r="B16" s="106" t="s">
        <v>266</v>
      </c>
      <c r="C16" s="107">
        <v>30000</v>
      </c>
      <c r="D16" s="107">
        <v>21800</v>
      </c>
      <c r="E16" s="107"/>
      <c r="F16" s="107"/>
      <c r="G16" s="107"/>
      <c r="H16" s="107"/>
      <c r="I16" s="107"/>
      <c r="J16" s="107"/>
      <c r="K16" s="107"/>
      <c r="L16" s="107"/>
      <c r="M16" s="107"/>
      <c r="N16" s="107"/>
      <c r="O16" s="108">
        <f t="shared" si="1"/>
        <v>30000</v>
      </c>
    </row>
    <row r="17" spans="1:15" s="105" customFormat="1" ht="16.5" customHeight="1">
      <c r="A17" s="104" t="s">
        <v>69</v>
      </c>
      <c r="B17" s="106" t="s">
        <v>55</v>
      </c>
      <c r="C17" s="107">
        <f>SUM(C18:C40)</f>
        <v>2017790</v>
      </c>
      <c r="D17" s="107">
        <f aca="true" t="shared" si="2" ref="D17:N17">SUM(D18:D40)</f>
        <v>1177300</v>
      </c>
      <c r="E17" s="107">
        <f t="shared" si="2"/>
        <v>65190</v>
      </c>
      <c r="F17" s="107">
        <f t="shared" si="2"/>
        <v>411522</v>
      </c>
      <c r="G17" s="107">
        <f t="shared" si="2"/>
        <v>254466</v>
      </c>
      <c r="H17" s="107">
        <f t="shared" si="2"/>
        <v>1500</v>
      </c>
      <c r="I17" s="107">
        <f t="shared" si="2"/>
        <v>0</v>
      </c>
      <c r="J17" s="107">
        <f t="shared" si="2"/>
        <v>0</v>
      </c>
      <c r="K17" s="107">
        <f t="shared" si="2"/>
        <v>0</v>
      </c>
      <c r="L17" s="107">
        <f>SUM(L18:L40)</f>
        <v>54630</v>
      </c>
      <c r="M17" s="107">
        <f t="shared" si="2"/>
        <v>0</v>
      </c>
      <c r="N17" s="107">
        <f t="shared" si="2"/>
        <v>4130</v>
      </c>
      <c r="O17" s="108">
        <f t="shared" si="1"/>
        <v>2483942</v>
      </c>
    </row>
    <row r="18" spans="1:15" s="96" customFormat="1" ht="15" customHeight="1">
      <c r="A18" s="110" t="s">
        <v>63</v>
      </c>
      <c r="B18" s="111" t="s">
        <v>267</v>
      </c>
      <c r="C18" s="108">
        <v>206700</v>
      </c>
      <c r="D18" s="112">
        <v>95300</v>
      </c>
      <c r="E18" s="112"/>
      <c r="F18" s="108"/>
      <c r="G18" s="112"/>
      <c r="H18" s="112"/>
      <c r="I18" s="108"/>
      <c r="J18" s="108"/>
      <c r="K18" s="112"/>
      <c r="L18" s="108"/>
      <c r="M18" s="112"/>
      <c r="N18" s="112"/>
      <c r="O18" s="108">
        <f t="shared" si="1"/>
        <v>206700</v>
      </c>
    </row>
    <row r="19" spans="1:15" s="96" customFormat="1" ht="15" customHeight="1">
      <c r="A19" s="110" t="s">
        <v>64</v>
      </c>
      <c r="B19" s="111" t="s">
        <v>113</v>
      </c>
      <c r="C19" s="108">
        <v>7000</v>
      </c>
      <c r="D19" s="112"/>
      <c r="E19" s="112"/>
      <c r="F19" s="108"/>
      <c r="G19" s="112"/>
      <c r="H19" s="112"/>
      <c r="I19" s="108"/>
      <c r="J19" s="108"/>
      <c r="K19" s="112"/>
      <c r="L19" s="108"/>
      <c r="M19" s="112"/>
      <c r="N19" s="112"/>
      <c r="O19" s="108">
        <f t="shared" si="1"/>
        <v>7000</v>
      </c>
    </row>
    <row r="20" spans="1:15" s="96" customFormat="1" ht="29.25" customHeight="1">
      <c r="A20" s="113" t="s">
        <v>65</v>
      </c>
      <c r="B20" s="114" t="s">
        <v>225</v>
      </c>
      <c r="C20" s="115">
        <f>1161370+1600+2150+970</f>
        <v>1166090</v>
      </c>
      <c r="D20" s="116">
        <v>716800</v>
      </c>
      <c r="E20" s="117">
        <f>40470+1600+2150+970</f>
        <v>45190</v>
      </c>
      <c r="F20" s="118">
        <f>85864+5700</f>
        <v>91564</v>
      </c>
      <c r="G20" s="116">
        <f>52991+3500</f>
        <v>56491</v>
      </c>
      <c r="H20" s="112"/>
      <c r="I20" s="108"/>
      <c r="J20" s="108"/>
      <c r="K20" s="112"/>
      <c r="L20" s="108">
        <f>5000+7000+32000</f>
        <v>44000</v>
      </c>
      <c r="M20" s="112"/>
      <c r="N20" s="112"/>
      <c r="O20" s="119">
        <f t="shared" si="1"/>
        <v>1301654</v>
      </c>
    </row>
    <row r="21" spans="1:15" s="96" customFormat="1" ht="15" customHeight="1">
      <c r="A21" s="110" t="s">
        <v>66</v>
      </c>
      <c r="B21" s="111" t="s">
        <v>23</v>
      </c>
      <c r="C21" s="108"/>
      <c r="D21" s="112"/>
      <c r="E21" s="112"/>
      <c r="F21" s="108">
        <v>8500</v>
      </c>
      <c r="G21" s="112">
        <v>5800</v>
      </c>
      <c r="H21" s="112"/>
      <c r="I21" s="108"/>
      <c r="J21" s="108"/>
      <c r="K21" s="112"/>
      <c r="L21" s="108"/>
      <c r="M21" s="112"/>
      <c r="N21" s="112"/>
      <c r="O21" s="108">
        <f t="shared" si="1"/>
        <v>8500</v>
      </c>
    </row>
    <row r="22" spans="1:15" s="96" customFormat="1" ht="15" customHeight="1">
      <c r="A22" s="110" t="s">
        <v>67</v>
      </c>
      <c r="B22" s="111" t="s">
        <v>215</v>
      </c>
      <c r="C22" s="108"/>
      <c r="D22" s="112"/>
      <c r="E22" s="112"/>
      <c r="F22" s="108">
        <v>15700</v>
      </c>
      <c r="G22" s="112">
        <v>9500</v>
      </c>
      <c r="H22" s="112"/>
      <c r="I22" s="108"/>
      <c r="J22" s="108"/>
      <c r="K22" s="112"/>
      <c r="L22" s="108"/>
      <c r="M22" s="112"/>
      <c r="N22" s="112"/>
      <c r="O22" s="108">
        <f t="shared" si="1"/>
        <v>15700</v>
      </c>
    </row>
    <row r="23" spans="1:15" s="96" customFormat="1" ht="15" customHeight="1">
      <c r="A23" s="110" t="s">
        <v>68</v>
      </c>
      <c r="B23" s="111" t="s">
        <v>226</v>
      </c>
      <c r="C23" s="108"/>
      <c r="D23" s="112"/>
      <c r="E23" s="112"/>
      <c r="F23" s="108">
        <f>175800+1950</f>
        <v>177750</v>
      </c>
      <c r="G23" s="112">
        <f>106000+1500</f>
        <v>107500</v>
      </c>
      <c r="H23" s="112"/>
      <c r="I23" s="108"/>
      <c r="J23" s="108"/>
      <c r="K23" s="112"/>
      <c r="L23" s="108"/>
      <c r="M23" s="112"/>
      <c r="N23" s="112"/>
      <c r="O23" s="108">
        <f t="shared" si="1"/>
        <v>177750</v>
      </c>
    </row>
    <row r="24" spans="1:15" s="96" customFormat="1" ht="15" customHeight="1">
      <c r="A24" s="110" t="s">
        <v>83</v>
      </c>
      <c r="B24" s="111" t="s">
        <v>237</v>
      </c>
      <c r="C24" s="108"/>
      <c r="D24" s="112"/>
      <c r="E24" s="112"/>
      <c r="F24" s="108">
        <v>11600</v>
      </c>
      <c r="G24" s="112">
        <v>6600</v>
      </c>
      <c r="H24" s="112"/>
      <c r="I24" s="108"/>
      <c r="J24" s="108"/>
      <c r="K24" s="112"/>
      <c r="L24" s="108"/>
      <c r="M24" s="112"/>
      <c r="N24" s="112"/>
      <c r="O24" s="108">
        <f t="shared" si="1"/>
        <v>11600</v>
      </c>
    </row>
    <row r="25" spans="1:15" s="96" customFormat="1" ht="28.5" customHeight="1">
      <c r="A25" s="110" t="s">
        <v>84</v>
      </c>
      <c r="B25" s="111" t="s">
        <v>227</v>
      </c>
      <c r="C25" s="108"/>
      <c r="D25" s="112"/>
      <c r="E25" s="112"/>
      <c r="F25" s="108">
        <v>4700</v>
      </c>
      <c r="G25" s="112">
        <v>3600</v>
      </c>
      <c r="H25" s="112"/>
      <c r="I25" s="108"/>
      <c r="J25" s="108"/>
      <c r="K25" s="112"/>
      <c r="L25" s="108"/>
      <c r="M25" s="112"/>
      <c r="N25" s="112"/>
      <c r="O25" s="108">
        <f t="shared" si="1"/>
        <v>4700</v>
      </c>
    </row>
    <row r="26" spans="1:15" s="96" customFormat="1" ht="15" customHeight="1">
      <c r="A26" s="120" t="s">
        <v>85</v>
      </c>
      <c r="B26" s="111" t="s">
        <v>228</v>
      </c>
      <c r="C26" s="108"/>
      <c r="D26" s="112"/>
      <c r="E26" s="112"/>
      <c r="F26" s="118">
        <v>4300</v>
      </c>
      <c r="G26" s="116"/>
      <c r="H26" s="112"/>
      <c r="I26" s="108"/>
      <c r="J26" s="108"/>
      <c r="K26" s="112"/>
      <c r="L26" s="108"/>
      <c r="M26" s="112"/>
      <c r="N26" s="112"/>
      <c r="O26" s="108">
        <f>C26+F26+I26+L26</f>
        <v>4300</v>
      </c>
    </row>
    <row r="27" spans="1:15" s="96" customFormat="1" ht="15" customHeight="1">
      <c r="A27" s="121" t="s">
        <v>86</v>
      </c>
      <c r="B27" s="114" t="s">
        <v>218</v>
      </c>
      <c r="C27" s="119"/>
      <c r="D27" s="122"/>
      <c r="E27" s="122"/>
      <c r="F27" s="119">
        <f>75000+15700</f>
        <v>90700</v>
      </c>
      <c r="G27" s="122">
        <f>50855+9000</f>
        <v>59855</v>
      </c>
      <c r="H27" s="112">
        <v>1500</v>
      </c>
      <c r="I27" s="108"/>
      <c r="J27" s="108"/>
      <c r="K27" s="112"/>
      <c r="L27" s="108"/>
      <c r="M27" s="112"/>
      <c r="N27" s="112"/>
      <c r="O27" s="119">
        <f t="shared" si="1"/>
        <v>90700</v>
      </c>
    </row>
    <row r="28" spans="1:15" s="96" customFormat="1" ht="15" customHeight="1">
      <c r="A28" s="120" t="s">
        <v>87</v>
      </c>
      <c r="B28" s="111" t="s">
        <v>116</v>
      </c>
      <c r="C28" s="108">
        <f>50300-1000</f>
        <v>49300</v>
      </c>
      <c r="D28" s="112">
        <v>34200</v>
      </c>
      <c r="E28" s="112"/>
      <c r="F28" s="112">
        <v>616</v>
      </c>
      <c r="G28" s="112">
        <v>470</v>
      </c>
      <c r="H28" s="112"/>
      <c r="I28" s="112"/>
      <c r="J28" s="112"/>
      <c r="K28" s="112"/>
      <c r="L28" s="108">
        <v>1770</v>
      </c>
      <c r="M28" s="112"/>
      <c r="N28" s="112"/>
      <c r="O28" s="108">
        <f t="shared" si="1"/>
        <v>51686</v>
      </c>
    </row>
    <row r="29" spans="1:15" s="96" customFormat="1" ht="15" customHeight="1">
      <c r="A29" s="120" t="s">
        <v>112</v>
      </c>
      <c r="B29" s="111" t="s">
        <v>122</v>
      </c>
      <c r="C29" s="108">
        <v>39900</v>
      </c>
      <c r="D29" s="112">
        <v>25900</v>
      </c>
      <c r="E29" s="112"/>
      <c r="F29" s="112">
        <v>471</v>
      </c>
      <c r="G29" s="112">
        <v>360</v>
      </c>
      <c r="H29" s="112"/>
      <c r="I29" s="112"/>
      <c r="J29" s="112"/>
      <c r="K29" s="112"/>
      <c r="L29" s="108">
        <v>140</v>
      </c>
      <c r="M29" s="112"/>
      <c r="N29" s="112"/>
      <c r="O29" s="108">
        <f t="shared" si="1"/>
        <v>40511</v>
      </c>
    </row>
    <row r="30" spans="1:15" s="96" customFormat="1" ht="15" customHeight="1">
      <c r="A30" s="120" t="s">
        <v>114</v>
      </c>
      <c r="B30" s="111" t="s">
        <v>123</v>
      </c>
      <c r="C30" s="108">
        <v>36800</v>
      </c>
      <c r="D30" s="112">
        <v>19800</v>
      </c>
      <c r="E30" s="112"/>
      <c r="F30" s="112">
        <v>354</v>
      </c>
      <c r="G30" s="112">
        <v>270</v>
      </c>
      <c r="H30" s="112"/>
      <c r="I30" s="112"/>
      <c r="J30" s="112"/>
      <c r="K30" s="112"/>
      <c r="L30" s="108">
        <v>630</v>
      </c>
      <c r="M30" s="112"/>
      <c r="N30" s="112"/>
      <c r="O30" s="108">
        <f t="shared" si="1"/>
        <v>37784</v>
      </c>
    </row>
    <row r="31" spans="1:15" s="95" customFormat="1" ht="15" customHeight="1">
      <c r="A31" s="120" t="s">
        <v>115</v>
      </c>
      <c r="B31" s="111" t="s">
        <v>124</v>
      </c>
      <c r="C31" s="108">
        <v>52800</v>
      </c>
      <c r="D31" s="112">
        <v>35800</v>
      </c>
      <c r="E31" s="112"/>
      <c r="F31" s="112">
        <v>642</v>
      </c>
      <c r="G31" s="112">
        <v>490</v>
      </c>
      <c r="H31" s="112"/>
      <c r="I31" s="112"/>
      <c r="J31" s="112"/>
      <c r="K31" s="112"/>
      <c r="L31" s="108">
        <v>100</v>
      </c>
      <c r="M31" s="112"/>
      <c r="N31" s="112"/>
      <c r="O31" s="108">
        <f t="shared" si="1"/>
        <v>53542</v>
      </c>
    </row>
    <row r="32" spans="1:15" s="96" customFormat="1" ht="15" customHeight="1">
      <c r="A32" s="120" t="s">
        <v>133</v>
      </c>
      <c r="B32" s="111" t="s">
        <v>125</v>
      </c>
      <c r="C32" s="108">
        <f>47500-1000</f>
        <v>46500</v>
      </c>
      <c r="D32" s="112">
        <v>32900</v>
      </c>
      <c r="E32" s="112"/>
      <c r="F32" s="112">
        <v>589</v>
      </c>
      <c r="G32" s="112">
        <v>450</v>
      </c>
      <c r="H32" s="112"/>
      <c r="I32" s="112"/>
      <c r="J32" s="112"/>
      <c r="K32" s="112"/>
      <c r="L32" s="108">
        <f>1220+400</f>
        <v>1620</v>
      </c>
      <c r="M32" s="112"/>
      <c r="N32" s="112">
        <f>400+600</f>
        <v>1000</v>
      </c>
      <c r="O32" s="108">
        <f t="shared" si="1"/>
        <v>48709</v>
      </c>
    </row>
    <row r="33" spans="1:15" s="96" customFormat="1" ht="15" customHeight="1">
      <c r="A33" s="120" t="s">
        <v>134</v>
      </c>
      <c r="B33" s="111" t="s">
        <v>126</v>
      </c>
      <c r="C33" s="108">
        <v>46400</v>
      </c>
      <c r="D33" s="112">
        <v>31300</v>
      </c>
      <c r="E33" s="112"/>
      <c r="F33" s="112">
        <v>616</v>
      </c>
      <c r="G33" s="112">
        <v>470</v>
      </c>
      <c r="H33" s="112"/>
      <c r="I33" s="112"/>
      <c r="J33" s="112"/>
      <c r="K33" s="112"/>
      <c r="L33" s="108">
        <v>240</v>
      </c>
      <c r="M33" s="112"/>
      <c r="N33" s="112"/>
      <c r="O33" s="108">
        <f t="shared" si="1"/>
        <v>47256</v>
      </c>
    </row>
    <row r="34" spans="1:15" s="96" customFormat="1" ht="15" customHeight="1">
      <c r="A34" s="120" t="s">
        <v>135</v>
      </c>
      <c r="B34" s="111" t="s">
        <v>127</v>
      </c>
      <c r="C34" s="108">
        <v>39300</v>
      </c>
      <c r="D34" s="112">
        <v>26200</v>
      </c>
      <c r="E34" s="112"/>
      <c r="F34" s="112">
        <v>485</v>
      </c>
      <c r="G34" s="112">
        <v>370</v>
      </c>
      <c r="H34" s="112"/>
      <c r="I34" s="112"/>
      <c r="J34" s="112"/>
      <c r="K34" s="112"/>
      <c r="L34" s="108">
        <f>430+500</f>
        <v>930</v>
      </c>
      <c r="M34" s="112"/>
      <c r="N34" s="112">
        <v>430</v>
      </c>
      <c r="O34" s="108">
        <f t="shared" si="1"/>
        <v>40715</v>
      </c>
    </row>
    <row r="35" spans="1:15" s="96" customFormat="1" ht="15" customHeight="1">
      <c r="A35" s="120" t="s">
        <v>136</v>
      </c>
      <c r="B35" s="111" t="s">
        <v>128</v>
      </c>
      <c r="C35" s="108">
        <v>44550</v>
      </c>
      <c r="D35" s="112">
        <v>30200</v>
      </c>
      <c r="E35" s="112"/>
      <c r="F35" s="112">
        <v>550</v>
      </c>
      <c r="G35" s="112">
        <v>420</v>
      </c>
      <c r="H35" s="112"/>
      <c r="I35" s="112"/>
      <c r="J35" s="112"/>
      <c r="K35" s="112"/>
      <c r="L35" s="108"/>
      <c r="M35" s="112"/>
      <c r="N35" s="112"/>
      <c r="O35" s="108">
        <f t="shared" si="1"/>
        <v>45100</v>
      </c>
    </row>
    <row r="36" spans="1:15" s="96" customFormat="1" ht="15" customHeight="1">
      <c r="A36" s="120" t="s">
        <v>137</v>
      </c>
      <c r="B36" s="111" t="s">
        <v>129</v>
      </c>
      <c r="C36" s="108">
        <v>50050</v>
      </c>
      <c r="D36" s="112">
        <v>34400</v>
      </c>
      <c r="E36" s="112"/>
      <c r="F36" s="112">
        <v>616</v>
      </c>
      <c r="G36" s="112">
        <v>470</v>
      </c>
      <c r="H36" s="112"/>
      <c r="I36" s="112"/>
      <c r="J36" s="112"/>
      <c r="K36" s="112"/>
      <c r="L36" s="108">
        <v>470</v>
      </c>
      <c r="M36" s="112"/>
      <c r="N36" s="112"/>
      <c r="O36" s="108">
        <f t="shared" si="1"/>
        <v>51136</v>
      </c>
    </row>
    <row r="37" spans="1:15" s="96" customFormat="1" ht="15" customHeight="1">
      <c r="A37" s="120" t="s">
        <v>138</v>
      </c>
      <c r="B37" s="111" t="s">
        <v>130</v>
      </c>
      <c r="C37" s="108">
        <f>52400-2300</f>
        <v>50100</v>
      </c>
      <c r="D37" s="112">
        <v>36200</v>
      </c>
      <c r="E37" s="112"/>
      <c r="F37" s="112">
        <v>642</v>
      </c>
      <c r="G37" s="112">
        <v>490</v>
      </c>
      <c r="H37" s="112"/>
      <c r="I37" s="112"/>
      <c r="J37" s="112"/>
      <c r="K37" s="112"/>
      <c r="L37" s="108">
        <f>2710+1000</f>
        <v>3710</v>
      </c>
      <c r="M37" s="112"/>
      <c r="N37" s="112">
        <f>1000+1700</f>
        <v>2700</v>
      </c>
      <c r="O37" s="108">
        <f t="shared" si="1"/>
        <v>54452</v>
      </c>
    </row>
    <row r="38" spans="1:15" s="96" customFormat="1" ht="15" customHeight="1">
      <c r="A38" s="120" t="s">
        <v>139</v>
      </c>
      <c r="B38" s="111" t="s">
        <v>131</v>
      </c>
      <c r="C38" s="108">
        <v>45300</v>
      </c>
      <c r="D38" s="112">
        <v>26600</v>
      </c>
      <c r="E38" s="112"/>
      <c r="F38" s="112">
        <v>485</v>
      </c>
      <c r="G38" s="112">
        <v>370</v>
      </c>
      <c r="H38" s="112"/>
      <c r="I38" s="112"/>
      <c r="J38" s="112"/>
      <c r="K38" s="112"/>
      <c r="L38" s="108">
        <f>120+900</f>
        <v>1020</v>
      </c>
      <c r="M38" s="112"/>
      <c r="N38" s="112"/>
      <c r="O38" s="108">
        <f>C38+F38+I38+L38</f>
        <v>46805</v>
      </c>
    </row>
    <row r="39" spans="1:15" s="96" customFormat="1" ht="15.75" customHeight="1">
      <c r="A39" s="120" t="s">
        <v>140</v>
      </c>
      <c r="B39" s="123" t="s">
        <v>132</v>
      </c>
      <c r="C39" s="108">
        <v>52000</v>
      </c>
      <c r="D39" s="112">
        <v>31700</v>
      </c>
      <c r="E39" s="112"/>
      <c r="F39" s="112">
        <v>642</v>
      </c>
      <c r="G39" s="112">
        <v>490</v>
      </c>
      <c r="H39" s="112"/>
      <c r="I39" s="112"/>
      <c r="J39" s="112"/>
      <c r="K39" s="112"/>
      <c r="L39" s="108"/>
      <c r="M39" s="112"/>
      <c r="N39" s="112"/>
      <c r="O39" s="108">
        <f t="shared" si="1"/>
        <v>52642</v>
      </c>
    </row>
    <row r="40" spans="1:15" s="95" customFormat="1" ht="29.25" customHeight="1">
      <c r="A40" s="120" t="s">
        <v>141</v>
      </c>
      <c r="B40" s="111" t="s">
        <v>196</v>
      </c>
      <c r="C40" s="108">
        <f>65000+20000</f>
        <v>85000</v>
      </c>
      <c r="D40" s="112"/>
      <c r="E40" s="112">
        <v>20000</v>
      </c>
      <c r="F40" s="112"/>
      <c r="G40" s="112"/>
      <c r="H40" s="112"/>
      <c r="I40" s="112"/>
      <c r="J40" s="112"/>
      <c r="K40" s="112"/>
      <c r="L40" s="112"/>
      <c r="M40" s="112"/>
      <c r="N40" s="108"/>
      <c r="O40" s="108">
        <f t="shared" si="1"/>
        <v>85000</v>
      </c>
    </row>
    <row r="41" spans="1:15" s="124" customFormat="1" ht="27" customHeight="1">
      <c r="A41" s="104" t="s">
        <v>71</v>
      </c>
      <c r="B41" s="106" t="s">
        <v>31</v>
      </c>
      <c r="C41" s="108">
        <f aca="true" t="shared" si="3" ref="C41:I41">SUM(C42:C42)</f>
        <v>55500</v>
      </c>
      <c r="D41" s="108">
        <f t="shared" si="3"/>
        <v>0</v>
      </c>
      <c r="E41" s="108">
        <f t="shared" si="3"/>
        <v>0</v>
      </c>
      <c r="F41" s="108">
        <f t="shared" si="3"/>
        <v>0</v>
      </c>
      <c r="G41" s="108">
        <f t="shared" si="3"/>
        <v>0</v>
      </c>
      <c r="H41" s="108">
        <f t="shared" si="3"/>
        <v>0</v>
      </c>
      <c r="I41" s="108">
        <f t="shared" si="3"/>
        <v>0</v>
      </c>
      <c r="J41" s="108"/>
      <c r="K41" s="108">
        <f>SUM(K42:K42)</f>
        <v>0</v>
      </c>
      <c r="L41" s="108">
        <f>SUM(L42:L42)</f>
        <v>0</v>
      </c>
      <c r="M41" s="108">
        <f>SUM(M42:M42)</f>
        <v>0</v>
      </c>
      <c r="N41" s="108">
        <f>SUM(N42:N42)</f>
        <v>0</v>
      </c>
      <c r="O41" s="108">
        <f t="shared" si="1"/>
        <v>55500</v>
      </c>
    </row>
    <row r="42" spans="1:15" s="128" customFormat="1" ht="29.25" customHeight="1">
      <c r="A42" s="125" t="s">
        <v>88</v>
      </c>
      <c r="B42" s="126" t="s">
        <v>310</v>
      </c>
      <c r="C42" s="112">
        <v>55500</v>
      </c>
      <c r="D42" s="127"/>
      <c r="E42" s="112"/>
      <c r="F42" s="127"/>
      <c r="G42" s="127"/>
      <c r="H42" s="127"/>
      <c r="I42" s="127"/>
      <c r="J42" s="127"/>
      <c r="K42" s="127"/>
      <c r="L42" s="127"/>
      <c r="M42" s="127"/>
      <c r="N42" s="127"/>
      <c r="O42" s="108">
        <f t="shared" si="1"/>
        <v>55500</v>
      </c>
    </row>
    <row r="43" spans="1:15" s="124" customFormat="1" ht="15" customHeight="1">
      <c r="A43" s="104" t="s">
        <v>72</v>
      </c>
      <c r="B43" s="106" t="s">
        <v>55</v>
      </c>
      <c r="C43" s="108">
        <f aca="true" t="shared" si="4" ref="C43:I43">SUM(C44:C46)</f>
        <v>159000</v>
      </c>
      <c r="D43" s="108">
        <f t="shared" si="4"/>
        <v>0</v>
      </c>
      <c r="E43" s="108">
        <f t="shared" si="4"/>
        <v>45000</v>
      </c>
      <c r="F43" s="108">
        <f t="shared" si="4"/>
        <v>0</v>
      </c>
      <c r="G43" s="108">
        <f t="shared" si="4"/>
        <v>0</v>
      </c>
      <c r="H43" s="108">
        <f t="shared" si="4"/>
        <v>0</v>
      </c>
      <c r="I43" s="108">
        <f t="shared" si="4"/>
        <v>0</v>
      </c>
      <c r="J43" s="108"/>
      <c r="K43" s="108">
        <f>SUM(K44:K46)</f>
        <v>0</v>
      </c>
      <c r="L43" s="108">
        <f>SUM(L44:L46)</f>
        <v>0</v>
      </c>
      <c r="M43" s="108">
        <f>SUM(M44:M46)</f>
        <v>0</v>
      </c>
      <c r="N43" s="108">
        <f>SUM(N44:N46)</f>
        <v>0</v>
      </c>
      <c r="O43" s="108">
        <f t="shared" si="1"/>
        <v>159000</v>
      </c>
    </row>
    <row r="44" spans="1:15" s="128" customFormat="1" ht="15" customHeight="1">
      <c r="A44" s="110" t="s">
        <v>59</v>
      </c>
      <c r="B44" s="126" t="s">
        <v>373</v>
      </c>
      <c r="C44" s="112">
        <v>4000</v>
      </c>
      <c r="D44" s="127"/>
      <c r="E44" s="129"/>
      <c r="F44" s="127"/>
      <c r="G44" s="127"/>
      <c r="H44" s="127"/>
      <c r="I44" s="127"/>
      <c r="J44" s="127"/>
      <c r="K44" s="127"/>
      <c r="L44" s="127"/>
      <c r="M44" s="127"/>
      <c r="N44" s="127"/>
      <c r="O44" s="108">
        <f t="shared" si="1"/>
        <v>4000</v>
      </c>
    </row>
    <row r="45" spans="1:15" s="128" customFormat="1" ht="15" customHeight="1">
      <c r="A45" s="125" t="s">
        <v>60</v>
      </c>
      <c r="B45" s="126" t="s">
        <v>52</v>
      </c>
      <c r="C45" s="112">
        <v>10000</v>
      </c>
      <c r="D45" s="127"/>
      <c r="E45" s="127"/>
      <c r="F45" s="127"/>
      <c r="G45" s="127"/>
      <c r="H45" s="127"/>
      <c r="I45" s="127"/>
      <c r="J45" s="127"/>
      <c r="K45" s="127"/>
      <c r="L45" s="127"/>
      <c r="M45" s="127"/>
      <c r="N45" s="127"/>
      <c r="O45" s="108">
        <f>C45+F45+I45+L45</f>
        <v>10000</v>
      </c>
    </row>
    <row r="46" spans="1:15" s="128" customFormat="1" ht="59.25" customHeight="1">
      <c r="A46" s="125" t="s">
        <v>197</v>
      </c>
      <c r="B46" s="126" t="s">
        <v>308</v>
      </c>
      <c r="C46" s="112">
        <v>145000</v>
      </c>
      <c r="D46" s="127"/>
      <c r="E46" s="112">
        <v>45000</v>
      </c>
      <c r="F46" s="127"/>
      <c r="G46" s="127"/>
      <c r="H46" s="127"/>
      <c r="I46" s="127"/>
      <c r="J46" s="127"/>
      <c r="K46" s="127"/>
      <c r="L46" s="127"/>
      <c r="M46" s="127"/>
      <c r="N46" s="127"/>
      <c r="O46" s="108">
        <f t="shared" si="1"/>
        <v>145000</v>
      </c>
    </row>
    <row r="47" spans="1:15" s="95" customFormat="1" ht="15" customHeight="1">
      <c r="A47" s="130"/>
      <c r="B47" s="206" t="s">
        <v>379</v>
      </c>
      <c r="C47" s="207"/>
      <c r="D47" s="207"/>
      <c r="E47" s="207"/>
      <c r="F47" s="207"/>
      <c r="G47" s="207"/>
      <c r="H47" s="207"/>
      <c r="I47" s="207"/>
      <c r="J47" s="207"/>
      <c r="K47" s="207"/>
      <c r="L47" s="207"/>
      <c r="M47" s="207"/>
      <c r="N47" s="207"/>
      <c r="O47" s="208"/>
    </row>
    <row r="48" spans="1:15" s="128" customFormat="1" ht="15" customHeight="1">
      <c r="A48" s="131"/>
      <c r="B48" s="106" t="s">
        <v>41</v>
      </c>
      <c r="C48" s="107">
        <f>C49</f>
        <v>19000</v>
      </c>
      <c r="D48" s="107">
        <f aca="true" t="shared" si="5" ref="D48:N48">D49</f>
        <v>0</v>
      </c>
      <c r="E48" s="107">
        <f t="shared" si="5"/>
        <v>0</v>
      </c>
      <c r="F48" s="107">
        <f t="shared" si="5"/>
        <v>449490</v>
      </c>
      <c r="G48" s="107">
        <f t="shared" si="5"/>
        <v>0</v>
      </c>
      <c r="H48" s="107">
        <f t="shared" si="5"/>
        <v>201490</v>
      </c>
      <c r="I48" s="107">
        <f t="shared" si="5"/>
        <v>0</v>
      </c>
      <c r="J48" s="107"/>
      <c r="K48" s="107">
        <f t="shared" si="5"/>
        <v>0</v>
      </c>
      <c r="L48" s="107">
        <f t="shared" si="5"/>
        <v>0</v>
      </c>
      <c r="M48" s="107">
        <f t="shared" si="5"/>
        <v>0</v>
      </c>
      <c r="N48" s="107">
        <f t="shared" si="5"/>
        <v>0</v>
      </c>
      <c r="O48" s="108">
        <f aca="true" t="shared" si="6" ref="O48:O53">C48+F48+I48+L48</f>
        <v>468490</v>
      </c>
    </row>
    <row r="49" spans="1:15" s="128" customFormat="1" ht="15.75" customHeight="1">
      <c r="A49" s="104" t="s">
        <v>73</v>
      </c>
      <c r="B49" s="106" t="s">
        <v>55</v>
      </c>
      <c r="C49" s="107">
        <f>SUM(C51,C52)</f>
        <v>19000</v>
      </c>
      <c r="D49" s="107">
        <f>SUM(D53)</f>
        <v>0</v>
      </c>
      <c r="E49" s="107">
        <f>SUM(E53)</f>
        <v>0</v>
      </c>
      <c r="F49" s="107">
        <f>SUM(F50,F53)</f>
        <v>449490</v>
      </c>
      <c r="G49" s="107">
        <f>SUM(G50,G53)</f>
        <v>0</v>
      </c>
      <c r="H49" s="107">
        <f>SUM(H50,H53)</f>
        <v>201490</v>
      </c>
      <c r="I49" s="107">
        <f aca="true" t="shared" si="7" ref="I49:N49">SUM(I50)</f>
        <v>0</v>
      </c>
      <c r="J49" s="107"/>
      <c r="K49" s="107">
        <f t="shared" si="7"/>
        <v>0</v>
      </c>
      <c r="L49" s="107">
        <f t="shared" si="7"/>
        <v>0</v>
      </c>
      <c r="M49" s="107">
        <f t="shared" si="7"/>
        <v>0</v>
      </c>
      <c r="N49" s="107">
        <f t="shared" si="7"/>
        <v>0</v>
      </c>
      <c r="O49" s="108">
        <f t="shared" si="6"/>
        <v>468490</v>
      </c>
    </row>
    <row r="50" spans="1:15" s="133" customFormat="1" ht="15" customHeight="1">
      <c r="A50" s="125" t="s">
        <v>61</v>
      </c>
      <c r="B50" s="126" t="s">
        <v>198</v>
      </c>
      <c r="C50" s="126"/>
      <c r="D50" s="126"/>
      <c r="E50" s="126"/>
      <c r="F50" s="132">
        <v>248000</v>
      </c>
      <c r="G50" s="132"/>
      <c r="H50" s="132"/>
      <c r="I50" s="126"/>
      <c r="J50" s="126"/>
      <c r="K50" s="126"/>
      <c r="L50" s="126"/>
      <c r="M50" s="126"/>
      <c r="N50" s="126"/>
      <c r="O50" s="108">
        <f t="shared" si="6"/>
        <v>248000</v>
      </c>
    </row>
    <row r="51" spans="1:15" s="133" customFormat="1" ht="15" customHeight="1">
      <c r="A51" s="125" t="s">
        <v>62</v>
      </c>
      <c r="B51" s="126" t="s">
        <v>301</v>
      </c>
      <c r="C51" s="132">
        <v>4000</v>
      </c>
      <c r="D51" s="126"/>
      <c r="E51" s="126"/>
      <c r="F51" s="132"/>
      <c r="G51" s="132"/>
      <c r="H51" s="132"/>
      <c r="I51" s="126"/>
      <c r="J51" s="126"/>
      <c r="K51" s="126"/>
      <c r="L51" s="126"/>
      <c r="M51" s="126"/>
      <c r="N51" s="126"/>
      <c r="O51" s="108">
        <f t="shared" si="6"/>
        <v>4000</v>
      </c>
    </row>
    <row r="52" spans="1:15" s="96" customFormat="1" ht="15" customHeight="1">
      <c r="A52" s="134" t="s">
        <v>268</v>
      </c>
      <c r="B52" s="135" t="s">
        <v>315</v>
      </c>
      <c r="C52" s="112">
        <v>15000</v>
      </c>
      <c r="D52" s="112"/>
      <c r="E52" s="112"/>
      <c r="F52" s="112"/>
      <c r="G52" s="112"/>
      <c r="H52" s="112"/>
      <c r="I52" s="112"/>
      <c r="J52" s="112"/>
      <c r="K52" s="112"/>
      <c r="L52" s="112"/>
      <c r="M52" s="112"/>
      <c r="N52" s="112"/>
      <c r="O52" s="108">
        <f t="shared" si="6"/>
        <v>15000</v>
      </c>
    </row>
    <row r="53" spans="1:15" s="138" customFormat="1" ht="45" customHeight="1">
      <c r="A53" s="136" t="s">
        <v>515</v>
      </c>
      <c r="B53" s="137" t="s">
        <v>526</v>
      </c>
      <c r="C53" s="122"/>
      <c r="D53" s="122"/>
      <c r="E53" s="122"/>
      <c r="F53" s="122">
        <f>127430+74060</f>
        <v>201490</v>
      </c>
      <c r="G53" s="122"/>
      <c r="H53" s="122">
        <f>127430+74060</f>
        <v>201490</v>
      </c>
      <c r="I53" s="122"/>
      <c r="J53" s="122"/>
      <c r="K53" s="122"/>
      <c r="L53" s="122"/>
      <c r="M53" s="122"/>
      <c r="N53" s="122"/>
      <c r="O53" s="119">
        <f t="shared" si="6"/>
        <v>201490</v>
      </c>
    </row>
    <row r="54" spans="1:15" s="96" customFormat="1" ht="15" customHeight="1">
      <c r="A54" s="139"/>
      <c r="B54" s="206" t="s">
        <v>380</v>
      </c>
      <c r="C54" s="207"/>
      <c r="D54" s="207"/>
      <c r="E54" s="207"/>
      <c r="F54" s="207"/>
      <c r="G54" s="207"/>
      <c r="H54" s="207"/>
      <c r="I54" s="207"/>
      <c r="J54" s="207"/>
      <c r="K54" s="207"/>
      <c r="L54" s="207"/>
      <c r="M54" s="207"/>
      <c r="N54" s="207"/>
      <c r="O54" s="208"/>
    </row>
    <row r="55" spans="1:15" s="128" customFormat="1" ht="15.75" customHeight="1">
      <c r="A55" s="131"/>
      <c r="B55" s="106" t="s">
        <v>41</v>
      </c>
      <c r="C55" s="107">
        <f>C56</f>
        <v>51500</v>
      </c>
      <c r="D55" s="107">
        <f aca="true" t="shared" si="8" ref="D55:N55">D56</f>
        <v>19500</v>
      </c>
      <c r="E55" s="107">
        <f t="shared" si="8"/>
        <v>0</v>
      </c>
      <c r="F55" s="107">
        <f t="shared" si="8"/>
        <v>393</v>
      </c>
      <c r="G55" s="107">
        <f t="shared" si="8"/>
        <v>300</v>
      </c>
      <c r="H55" s="107">
        <f t="shared" si="8"/>
        <v>0</v>
      </c>
      <c r="I55" s="107">
        <f t="shared" si="8"/>
        <v>0</v>
      </c>
      <c r="J55" s="107">
        <f t="shared" si="8"/>
        <v>0</v>
      </c>
      <c r="K55" s="107">
        <f t="shared" si="8"/>
        <v>0</v>
      </c>
      <c r="L55" s="107">
        <f t="shared" si="8"/>
        <v>0</v>
      </c>
      <c r="M55" s="107">
        <f t="shared" si="8"/>
        <v>0</v>
      </c>
      <c r="N55" s="107">
        <f t="shared" si="8"/>
        <v>0</v>
      </c>
      <c r="O55" s="108">
        <f>C55+F55+I55+L55</f>
        <v>51893</v>
      </c>
    </row>
    <row r="56" spans="1:15" s="96" customFormat="1" ht="15" customHeight="1">
      <c r="A56" s="104" t="s">
        <v>74</v>
      </c>
      <c r="B56" s="106" t="s">
        <v>55</v>
      </c>
      <c r="C56" s="108">
        <f>SUM(C57:C59)</f>
        <v>51500</v>
      </c>
      <c r="D56" s="108">
        <f aca="true" t="shared" si="9" ref="D56:I56">SUM(D57:D57)</f>
        <v>19500</v>
      </c>
      <c r="E56" s="108">
        <f t="shared" si="9"/>
        <v>0</v>
      </c>
      <c r="F56" s="108">
        <f t="shared" si="9"/>
        <v>393</v>
      </c>
      <c r="G56" s="108">
        <f t="shared" si="9"/>
        <v>300</v>
      </c>
      <c r="H56" s="108">
        <f t="shared" si="9"/>
        <v>0</v>
      </c>
      <c r="I56" s="108">
        <f t="shared" si="9"/>
        <v>0</v>
      </c>
      <c r="J56" s="108"/>
      <c r="K56" s="108">
        <f>SUM(K57:K57)</f>
        <v>0</v>
      </c>
      <c r="L56" s="108">
        <f>SUM(L57:L57)</f>
        <v>0</v>
      </c>
      <c r="M56" s="108">
        <f>SUM(M57:M57)</f>
        <v>0</v>
      </c>
      <c r="N56" s="108">
        <f>SUM(N57:N57)</f>
        <v>0</v>
      </c>
      <c r="O56" s="108">
        <f>C56+F56+I56+L56</f>
        <v>51893</v>
      </c>
    </row>
    <row r="57" spans="1:15" s="96" customFormat="1" ht="15" customHeight="1">
      <c r="A57" s="125" t="s">
        <v>89</v>
      </c>
      <c r="B57" s="140" t="s">
        <v>217</v>
      </c>
      <c r="C57" s="112">
        <v>46000</v>
      </c>
      <c r="D57" s="112">
        <v>19500</v>
      </c>
      <c r="E57" s="112"/>
      <c r="F57" s="112">
        <v>393</v>
      </c>
      <c r="G57" s="112">
        <v>300</v>
      </c>
      <c r="H57" s="112"/>
      <c r="I57" s="112"/>
      <c r="J57" s="112"/>
      <c r="K57" s="112"/>
      <c r="L57" s="112"/>
      <c r="M57" s="112"/>
      <c r="N57" s="112"/>
      <c r="O57" s="108">
        <f>C57+F57+I57+L57</f>
        <v>46393</v>
      </c>
    </row>
    <row r="58" spans="1:15" s="96" customFormat="1" ht="15" customHeight="1">
      <c r="A58" s="110" t="s">
        <v>306</v>
      </c>
      <c r="B58" s="140" t="s">
        <v>269</v>
      </c>
      <c r="C58" s="112">
        <v>4000</v>
      </c>
      <c r="D58" s="112"/>
      <c r="E58" s="112"/>
      <c r="F58" s="112"/>
      <c r="G58" s="112"/>
      <c r="H58" s="112"/>
      <c r="I58" s="112"/>
      <c r="J58" s="112"/>
      <c r="K58" s="112"/>
      <c r="L58" s="112"/>
      <c r="M58" s="112"/>
      <c r="N58" s="112"/>
      <c r="O58" s="108">
        <f>C58+F58+I58+L58</f>
        <v>4000</v>
      </c>
    </row>
    <row r="59" spans="1:15" s="96" customFormat="1" ht="15" customHeight="1">
      <c r="A59" s="110" t="s">
        <v>316</v>
      </c>
      <c r="B59" s="141" t="s">
        <v>317</v>
      </c>
      <c r="C59" s="112">
        <v>1500</v>
      </c>
      <c r="D59" s="112"/>
      <c r="E59" s="112"/>
      <c r="F59" s="112"/>
      <c r="G59" s="112"/>
      <c r="H59" s="112"/>
      <c r="I59" s="112"/>
      <c r="J59" s="112"/>
      <c r="K59" s="112"/>
      <c r="L59" s="112"/>
      <c r="M59" s="112"/>
      <c r="N59" s="112"/>
      <c r="O59" s="108">
        <f>C59+F59+I59+L59</f>
        <v>1500</v>
      </c>
    </row>
    <row r="60" spans="1:15" s="95" customFormat="1" ht="15.75" customHeight="1">
      <c r="A60" s="130"/>
      <c r="B60" s="209" t="s">
        <v>318</v>
      </c>
      <c r="C60" s="210"/>
      <c r="D60" s="210"/>
      <c r="E60" s="210"/>
      <c r="F60" s="210"/>
      <c r="G60" s="210"/>
      <c r="H60" s="210"/>
      <c r="I60" s="210"/>
      <c r="J60" s="210"/>
      <c r="K60" s="210"/>
      <c r="L60" s="210"/>
      <c r="M60" s="210"/>
      <c r="N60" s="210"/>
      <c r="O60" s="211"/>
    </row>
    <row r="61" spans="1:15" s="128" customFormat="1" ht="15.75" customHeight="1">
      <c r="A61" s="131"/>
      <c r="B61" s="106" t="s">
        <v>41</v>
      </c>
      <c r="C61" s="107">
        <f aca="true" t="shared" si="10" ref="C61:N61">C62+C89</f>
        <v>1506310</v>
      </c>
      <c r="D61" s="107">
        <f t="shared" si="10"/>
        <v>5120</v>
      </c>
      <c r="E61" s="107">
        <f t="shared" si="10"/>
        <v>210000</v>
      </c>
      <c r="F61" s="107">
        <f t="shared" si="10"/>
        <v>381531</v>
      </c>
      <c r="G61" s="107">
        <f t="shared" si="10"/>
        <v>274880</v>
      </c>
      <c r="H61" s="107">
        <f t="shared" si="10"/>
        <v>0</v>
      </c>
      <c r="I61" s="107">
        <f t="shared" si="10"/>
        <v>1197300</v>
      </c>
      <c r="J61" s="107">
        <f t="shared" si="10"/>
        <v>0</v>
      </c>
      <c r="K61" s="107">
        <f t="shared" si="10"/>
        <v>731800</v>
      </c>
      <c r="L61" s="107">
        <f t="shared" si="10"/>
        <v>0</v>
      </c>
      <c r="M61" s="107">
        <f t="shared" si="10"/>
        <v>0</v>
      </c>
      <c r="N61" s="107">
        <f t="shared" si="10"/>
        <v>0</v>
      </c>
      <c r="O61" s="108">
        <f aca="true" t="shared" si="11" ref="O61:O87">C61+F61+I61+L61</f>
        <v>3085141</v>
      </c>
    </row>
    <row r="62" spans="1:15" s="128" customFormat="1" ht="15.75" customHeight="1">
      <c r="A62" s="104" t="s">
        <v>75</v>
      </c>
      <c r="B62" s="106" t="s">
        <v>55</v>
      </c>
      <c r="C62" s="107">
        <f aca="true" t="shared" si="12" ref="C62:N62">SUM(C63:C76)</f>
        <v>1490610</v>
      </c>
      <c r="D62" s="107">
        <f t="shared" si="12"/>
        <v>0</v>
      </c>
      <c r="E62" s="107">
        <f t="shared" si="12"/>
        <v>210000</v>
      </c>
      <c r="F62" s="107">
        <f t="shared" si="12"/>
        <v>0</v>
      </c>
      <c r="G62" s="107">
        <f t="shared" si="12"/>
        <v>0</v>
      </c>
      <c r="H62" s="107">
        <f t="shared" si="12"/>
        <v>0</v>
      </c>
      <c r="I62" s="107">
        <f t="shared" si="12"/>
        <v>1197300</v>
      </c>
      <c r="J62" s="107">
        <f t="shared" si="12"/>
        <v>0</v>
      </c>
      <c r="K62" s="107">
        <f t="shared" si="12"/>
        <v>731800</v>
      </c>
      <c r="L62" s="107">
        <f t="shared" si="12"/>
        <v>0</v>
      </c>
      <c r="M62" s="107">
        <f t="shared" si="12"/>
        <v>0</v>
      </c>
      <c r="N62" s="107">
        <f t="shared" si="12"/>
        <v>0</v>
      </c>
      <c r="O62" s="108">
        <f t="shared" si="11"/>
        <v>2687910</v>
      </c>
    </row>
    <row r="63" spans="1:15" s="96" customFormat="1" ht="45" customHeight="1">
      <c r="A63" s="125" t="s">
        <v>90</v>
      </c>
      <c r="B63" s="111" t="s">
        <v>270</v>
      </c>
      <c r="C63" s="112">
        <v>115000</v>
      </c>
      <c r="D63" s="112"/>
      <c r="E63" s="112">
        <v>55000</v>
      </c>
      <c r="F63" s="112"/>
      <c r="G63" s="112"/>
      <c r="H63" s="112"/>
      <c r="I63" s="112"/>
      <c r="J63" s="112"/>
      <c r="K63" s="112"/>
      <c r="L63" s="112"/>
      <c r="M63" s="112"/>
      <c r="N63" s="112"/>
      <c r="O63" s="108">
        <f t="shared" si="11"/>
        <v>115000</v>
      </c>
    </row>
    <row r="64" spans="1:15" s="133" customFormat="1" ht="29.25" customHeight="1">
      <c r="A64" s="125" t="s">
        <v>91</v>
      </c>
      <c r="B64" s="126" t="s">
        <v>271</v>
      </c>
      <c r="C64" s="132">
        <v>35000</v>
      </c>
      <c r="D64" s="132"/>
      <c r="E64" s="132"/>
      <c r="F64" s="132"/>
      <c r="G64" s="132"/>
      <c r="H64" s="132"/>
      <c r="I64" s="132"/>
      <c r="J64" s="132"/>
      <c r="K64" s="132"/>
      <c r="L64" s="132"/>
      <c r="M64" s="132"/>
      <c r="N64" s="132"/>
      <c r="O64" s="108">
        <f t="shared" si="11"/>
        <v>35000</v>
      </c>
    </row>
    <row r="65" spans="1:15" s="96" customFormat="1" ht="43.5" customHeight="1">
      <c r="A65" s="125" t="s">
        <v>92</v>
      </c>
      <c r="B65" s="126" t="s">
        <v>374</v>
      </c>
      <c r="C65" s="112">
        <v>25000</v>
      </c>
      <c r="D65" s="112"/>
      <c r="E65" s="112"/>
      <c r="F65" s="112"/>
      <c r="G65" s="112"/>
      <c r="H65" s="112"/>
      <c r="I65" s="112"/>
      <c r="J65" s="112"/>
      <c r="K65" s="112"/>
      <c r="L65" s="112"/>
      <c r="M65" s="112"/>
      <c r="N65" s="112"/>
      <c r="O65" s="108">
        <f t="shared" si="11"/>
        <v>25000</v>
      </c>
    </row>
    <row r="66" spans="1:15" s="96" customFormat="1" ht="29.25" customHeight="1">
      <c r="A66" s="125" t="s">
        <v>142</v>
      </c>
      <c r="B66" s="126" t="s">
        <v>319</v>
      </c>
      <c r="C66" s="112">
        <v>53900</v>
      </c>
      <c r="D66" s="112"/>
      <c r="E66" s="112"/>
      <c r="F66" s="112"/>
      <c r="G66" s="112"/>
      <c r="H66" s="112"/>
      <c r="I66" s="112"/>
      <c r="J66" s="112"/>
      <c r="K66" s="112"/>
      <c r="L66" s="112"/>
      <c r="M66" s="112"/>
      <c r="N66" s="112"/>
      <c r="O66" s="108">
        <f t="shared" si="11"/>
        <v>53900</v>
      </c>
    </row>
    <row r="67" spans="1:15" s="128" customFormat="1" ht="30" customHeight="1">
      <c r="A67" s="125" t="s">
        <v>143</v>
      </c>
      <c r="B67" s="126" t="s">
        <v>272</v>
      </c>
      <c r="C67" s="142">
        <v>50000</v>
      </c>
      <c r="D67" s="112"/>
      <c r="E67" s="112"/>
      <c r="F67" s="112"/>
      <c r="G67" s="112"/>
      <c r="H67" s="112"/>
      <c r="I67" s="112"/>
      <c r="J67" s="112"/>
      <c r="K67" s="112"/>
      <c r="L67" s="112"/>
      <c r="M67" s="112"/>
      <c r="N67" s="112"/>
      <c r="O67" s="108">
        <f t="shared" si="11"/>
        <v>50000</v>
      </c>
    </row>
    <row r="68" spans="1:15" s="145" customFormat="1" ht="43.5" customHeight="1">
      <c r="A68" s="143" t="s">
        <v>144</v>
      </c>
      <c r="B68" s="144" t="s">
        <v>273</v>
      </c>
      <c r="C68" s="122">
        <f>295000+40000</f>
        <v>335000</v>
      </c>
      <c r="D68" s="122"/>
      <c r="E68" s="122"/>
      <c r="F68" s="122"/>
      <c r="G68" s="122"/>
      <c r="H68" s="122"/>
      <c r="I68" s="122"/>
      <c r="J68" s="122"/>
      <c r="K68" s="122"/>
      <c r="L68" s="122"/>
      <c r="M68" s="122"/>
      <c r="N68" s="122"/>
      <c r="O68" s="119">
        <f t="shared" si="11"/>
        <v>335000</v>
      </c>
    </row>
    <row r="69" spans="1:15" s="96" customFormat="1" ht="17.25" customHeight="1">
      <c r="A69" s="125" t="s">
        <v>145</v>
      </c>
      <c r="B69" s="111" t="s">
        <v>311</v>
      </c>
      <c r="C69" s="112">
        <v>6000</v>
      </c>
      <c r="D69" s="112"/>
      <c r="E69" s="112"/>
      <c r="F69" s="112"/>
      <c r="G69" s="112"/>
      <c r="H69" s="112"/>
      <c r="I69" s="112"/>
      <c r="J69" s="112"/>
      <c r="K69" s="112"/>
      <c r="L69" s="112"/>
      <c r="M69" s="112"/>
      <c r="N69" s="112"/>
      <c r="O69" s="108">
        <f t="shared" si="11"/>
        <v>6000</v>
      </c>
    </row>
    <row r="70" spans="1:15" s="128" customFormat="1" ht="17.25" customHeight="1">
      <c r="A70" s="125" t="s">
        <v>146</v>
      </c>
      <c r="B70" s="126" t="s">
        <v>42</v>
      </c>
      <c r="C70" s="112">
        <v>15000</v>
      </c>
      <c r="D70" s="112"/>
      <c r="E70" s="112"/>
      <c r="F70" s="112"/>
      <c r="G70" s="112"/>
      <c r="H70" s="112"/>
      <c r="I70" s="112"/>
      <c r="J70" s="112"/>
      <c r="K70" s="112"/>
      <c r="L70" s="112"/>
      <c r="M70" s="112"/>
      <c r="N70" s="112"/>
      <c r="O70" s="108">
        <f t="shared" si="11"/>
        <v>15000</v>
      </c>
    </row>
    <row r="71" spans="1:15" s="133" customFormat="1" ht="29.25" customHeight="1">
      <c r="A71" s="125" t="s">
        <v>147</v>
      </c>
      <c r="B71" s="126" t="s">
        <v>275</v>
      </c>
      <c r="C71" s="132">
        <f>170000+30000</f>
        <v>200000</v>
      </c>
      <c r="D71" s="132"/>
      <c r="E71" s="132"/>
      <c r="F71" s="132"/>
      <c r="G71" s="132"/>
      <c r="H71" s="132"/>
      <c r="I71" s="132"/>
      <c r="J71" s="132"/>
      <c r="K71" s="132"/>
      <c r="L71" s="132"/>
      <c r="M71" s="132"/>
      <c r="N71" s="132"/>
      <c r="O71" s="108">
        <f t="shared" si="11"/>
        <v>200000</v>
      </c>
    </row>
    <row r="72" spans="1:15" s="147" customFormat="1" ht="43.5" customHeight="1">
      <c r="A72" s="143" t="s">
        <v>148</v>
      </c>
      <c r="B72" s="144" t="s">
        <v>385</v>
      </c>
      <c r="C72" s="146">
        <f>60000-5000</f>
        <v>55000</v>
      </c>
      <c r="D72" s="146"/>
      <c r="E72" s="146">
        <f>60000-5000</f>
        <v>55000</v>
      </c>
      <c r="F72" s="146"/>
      <c r="G72" s="146"/>
      <c r="H72" s="146"/>
      <c r="I72" s="146"/>
      <c r="J72" s="146"/>
      <c r="K72" s="146"/>
      <c r="L72" s="146"/>
      <c r="M72" s="146"/>
      <c r="N72" s="146"/>
      <c r="O72" s="119">
        <f t="shared" si="11"/>
        <v>55000</v>
      </c>
    </row>
    <row r="73" spans="1:15" s="96" customFormat="1" ht="16.5" customHeight="1">
      <c r="A73" s="125" t="s">
        <v>309</v>
      </c>
      <c r="B73" s="111" t="s">
        <v>274</v>
      </c>
      <c r="C73" s="112">
        <v>7000</v>
      </c>
      <c r="D73" s="112"/>
      <c r="E73" s="112"/>
      <c r="F73" s="112"/>
      <c r="G73" s="112"/>
      <c r="H73" s="112"/>
      <c r="I73" s="112"/>
      <c r="J73" s="112"/>
      <c r="K73" s="112"/>
      <c r="L73" s="112"/>
      <c r="M73" s="112"/>
      <c r="N73" s="112"/>
      <c r="O73" s="108">
        <f>C73+F73+I73+L73</f>
        <v>7000</v>
      </c>
    </row>
    <row r="74" spans="1:15" s="96" customFormat="1" ht="57.75" customHeight="1">
      <c r="A74" s="143" t="s">
        <v>396</v>
      </c>
      <c r="B74" s="114" t="s">
        <v>481</v>
      </c>
      <c r="C74" s="122"/>
      <c r="D74" s="122"/>
      <c r="E74" s="122"/>
      <c r="F74" s="122"/>
      <c r="G74" s="122"/>
      <c r="H74" s="122"/>
      <c r="I74" s="112">
        <f>1197300</f>
        <v>1197300</v>
      </c>
      <c r="J74" s="122"/>
      <c r="K74" s="117">
        <f>828800-97000</f>
        <v>731800</v>
      </c>
      <c r="L74" s="122"/>
      <c r="M74" s="122"/>
      <c r="N74" s="122"/>
      <c r="O74" s="108">
        <f>C74+F74+I74+L74</f>
        <v>1197300</v>
      </c>
    </row>
    <row r="75" spans="1:15" s="96" customFormat="1" ht="30" customHeight="1">
      <c r="A75" s="125" t="s">
        <v>528</v>
      </c>
      <c r="B75" s="111" t="s">
        <v>529</v>
      </c>
      <c r="C75" s="112">
        <v>100000</v>
      </c>
      <c r="D75" s="112"/>
      <c r="E75" s="112">
        <v>100000</v>
      </c>
      <c r="F75" s="112"/>
      <c r="G75" s="112"/>
      <c r="H75" s="112"/>
      <c r="I75" s="112"/>
      <c r="J75" s="112"/>
      <c r="K75" s="116"/>
      <c r="L75" s="112"/>
      <c r="M75" s="112"/>
      <c r="N75" s="112"/>
      <c r="O75" s="108">
        <f>C75+F75+I75+L75</f>
        <v>100000</v>
      </c>
    </row>
    <row r="76" spans="1:15" s="95" customFormat="1" ht="29.25" customHeight="1">
      <c r="A76" s="131" t="s">
        <v>76</v>
      </c>
      <c r="B76" s="111" t="s">
        <v>276</v>
      </c>
      <c r="C76" s="112">
        <f aca="true" t="shared" si="13" ref="C76:O76">SUM(C77:C88)</f>
        <v>493710</v>
      </c>
      <c r="D76" s="108">
        <f t="shared" si="13"/>
        <v>0</v>
      </c>
      <c r="E76" s="112">
        <f t="shared" si="13"/>
        <v>0</v>
      </c>
      <c r="F76" s="108">
        <f t="shared" si="13"/>
        <v>0</v>
      </c>
      <c r="G76" s="108">
        <f t="shared" si="13"/>
        <v>0</v>
      </c>
      <c r="H76" s="108">
        <f t="shared" si="13"/>
        <v>0</v>
      </c>
      <c r="I76" s="108">
        <f t="shared" si="13"/>
        <v>0</v>
      </c>
      <c r="J76" s="108">
        <f t="shared" si="13"/>
        <v>0</v>
      </c>
      <c r="K76" s="108">
        <f t="shared" si="13"/>
        <v>0</v>
      </c>
      <c r="L76" s="108">
        <f t="shared" si="13"/>
        <v>0</v>
      </c>
      <c r="M76" s="108">
        <f t="shared" si="13"/>
        <v>0</v>
      </c>
      <c r="N76" s="108">
        <f t="shared" si="13"/>
        <v>0</v>
      </c>
      <c r="O76" s="108">
        <f t="shared" si="13"/>
        <v>493710</v>
      </c>
    </row>
    <row r="77" spans="1:15" s="96" customFormat="1" ht="15" customHeight="1">
      <c r="A77" s="110" t="s">
        <v>93</v>
      </c>
      <c r="B77" s="111" t="s">
        <v>12</v>
      </c>
      <c r="C77" s="112">
        <f>12800-2500</f>
        <v>10300</v>
      </c>
      <c r="D77" s="112"/>
      <c r="E77" s="112"/>
      <c r="F77" s="112"/>
      <c r="G77" s="112"/>
      <c r="H77" s="112"/>
      <c r="I77" s="112"/>
      <c r="J77" s="112"/>
      <c r="K77" s="112"/>
      <c r="L77" s="112"/>
      <c r="M77" s="112"/>
      <c r="N77" s="112"/>
      <c r="O77" s="108">
        <f t="shared" si="11"/>
        <v>10300</v>
      </c>
    </row>
    <row r="78" spans="1:15" s="138" customFormat="1" ht="15" customHeight="1">
      <c r="A78" s="143" t="s">
        <v>94</v>
      </c>
      <c r="B78" s="114" t="s">
        <v>11</v>
      </c>
      <c r="C78" s="122">
        <f>6600-2150</f>
        <v>4450</v>
      </c>
      <c r="D78" s="122"/>
      <c r="E78" s="122"/>
      <c r="F78" s="122"/>
      <c r="G78" s="122"/>
      <c r="H78" s="122"/>
      <c r="I78" s="122"/>
      <c r="J78" s="122"/>
      <c r="K78" s="122"/>
      <c r="L78" s="122"/>
      <c r="M78" s="122"/>
      <c r="N78" s="122"/>
      <c r="O78" s="119">
        <f t="shared" si="11"/>
        <v>4450</v>
      </c>
    </row>
    <row r="79" spans="1:15" s="95" customFormat="1" ht="15" customHeight="1">
      <c r="A79" s="143" t="s">
        <v>95</v>
      </c>
      <c r="B79" s="114" t="s">
        <v>10</v>
      </c>
      <c r="C79" s="122">
        <f>4500-970</f>
        <v>3530</v>
      </c>
      <c r="D79" s="108">
        <f aca="true" t="shared" si="14" ref="D79:N79">SUM(D80)</f>
        <v>0</v>
      </c>
      <c r="E79" s="108">
        <f t="shared" si="14"/>
        <v>0</v>
      </c>
      <c r="F79" s="108">
        <f t="shared" si="14"/>
        <v>0</v>
      </c>
      <c r="G79" s="108">
        <f t="shared" si="14"/>
        <v>0</v>
      </c>
      <c r="H79" s="108">
        <f t="shared" si="14"/>
        <v>0</v>
      </c>
      <c r="I79" s="108">
        <f t="shared" si="14"/>
        <v>0</v>
      </c>
      <c r="J79" s="108"/>
      <c r="K79" s="108">
        <f t="shared" si="14"/>
        <v>0</v>
      </c>
      <c r="L79" s="108">
        <f t="shared" si="14"/>
        <v>0</v>
      </c>
      <c r="M79" s="108">
        <f t="shared" si="14"/>
        <v>0</v>
      </c>
      <c r="N79" s="108">
        <f t="shared" si="14"/>
        <v>0</v>
      </c>
      <c r="O79" s="108">
        <f t="shared" si="11"/>
        <v>3530</v>
      </c>
    </row>
    <row r="80" spans="1:15" s="96" customFormat="1" ht="15" customHeight="1">
      <c r="A80" s="125" t="s">
        <v>149</v>
      </c>
      <c r="B80" s="111" t="s">
        <v>9</v>
      </c>
      <c r="C80" s="112">
        <f>12900-1100</f>
        <v>11800</v>
      </c>
      <c r="D80" s="112"/>
      <c r="E80" s="112"/>
      <c r="F80" s="108"/>
      <c r="G80" s="112"/>
      <c r="H80" s="112"/>
      <c r="I80" s="108"/>
      <c r="J80" s="108"/>
      <c r="K80" s="112"/>
      <c r="L80" s="108"/>
      <c r="M80" s="112"/>
      <c r="N80" s="112"/>
      <c r="O80" s="108">
        <f t="shared" si="11"/>
        <v>11800</v>
      </c>
    </row>
    <row r="81" spans="1:15" s="96" customFormat="1" ht="15" customHeight="1">
      <c r="A81" s="125" t="s">
        <v>150</v>
      </c>
      <c r="B81" s="111" t="s">
        <v>8</v>
      </c>
      <c r="C81" s="112">
        <v>7000</v>
      </c>
      <c r="D81" s="112"/>
      <c r="E81" s="112"/>
      <c r="F81" s="108"/>
      <c r="G81" s="112"/>
      <c r="H81" s="112"/>
      <c r="I81" s="108"/>
      <c r="J81" s="108"/>
      <c r="K81" s="112"/>
      <c r="L81" s="108"/>
      <c r="M81" s="112"/>
      <c r="N81" s="112"/>
      <c r="O81" s="108">
        <f t="shared" si="11"/>
        <v>7000</v>
      </c>
    </row>
    <row r="82" spans="1:15" s="96" customFormat="1" ht="15" customHeight="1">
      <c r="A82" s="125" t="s">
        <v>151</v>
      </c>
      <c r="B82" s="111" t="s">
        <v>7</v>
      </c>
      <c r="C82" s="112">
        <v>10200</v>
      </c>
      <c r="D82" s="112"/>
      <c r="E82" s="112"/>
      <c r="F82" s="108"/>
      <c r="G82" s="112"/>
      <c r="H82" s="112"/>
      <c r="I82" s="108"/>
      <c r="J82" s="108"/>
      <c r="K82" s="112"/>
      <c r="L82" s="108"/>
      <c r="M82" s="112"/>
      <c r="N82" s="112"/>
      <c r="O82" s="108">
        <f t="shared" si="11"/>
        <v>10200</v>
      </c>
    </row>
    <row r="83" spans="1:15" s="96" customFormat="1" ht="15" customHeight="1">
      <c r="A83" s="125" t="s">
        <v>152</v>
      </c>
      <c r="B83" s="111" t="s">
        <v>6</v>
      </c>
      <c r="C83" s="112">
        <f>9200-2070</f>
        <v>7130</v>
      </c>
      <c r="D83" s="112"/>
      <c r="E83" s="112"/>
      <c r="F83" s="108"/>
      <c r="G83" s="112"/>
      <c r="H83" s="112"/>
      <c r="I83" s="108"/>
      <c r="J83" s="108"/>
      <c r="K83" s="112"/>
      <c r="L83" s="108"/>
      <c r="M83" s="112"/>
      <c r="N83" s="112"/>
      <c r="O83" s="108">
        <f t="shared" si="11"/>
        <v>7130</v>
      </c>
    </row>
    <row r="84" spans="1:15" s="96" customFormat="1" ht="15" customHeight="1">
      <c r="A84" s="125" t="s">
        <v>153</v>
      </c>
      <c r="B84" s="111" t="s">
        <v>5</v>
      </c>
      <c r="C84" s="112">
        <v>6600</v>
      </c>
      <c r="D84" s="112"/>
      <c r="E84" s="112"/>
      <c r="F84" s="108"/>
      <c r="G84" s="112"/>
      <c r="H84" s="112"/>
      <c r="I84" s="108"/>
      <c r="J84" s="108"/>
      <c r="K84" s="112"/>
      <c r="L84" s="108"/>
      <c r="M84" s="112"/>
      <c r="N84" s="112"/>
      <c r="O84" s="108">
        <f t="shared" si="11"/>
        <v>6600</v>
      </c>
    </row>
    <row r="85" spans="1:15" s="96" customFormat="1" ht="15" customHeight="1">
      <c r="A85" s="125" t="s">
        <v>154</v>
      </c>
      <c r="B85" s="111" t="s">
        <v>4</v>
      </c>
      <c r="C85" s="112">
        <v>9900</v>
      </c>
      <c r="D85" s="112"/>
      <c r="E85" s="112"/>
      <c r="F85" s="108"/>
      <c r="G85" s="112"/>
      <c r="H85" s="112"/>
      <c r="I85" s="108"/>
      <c r="J85" s="108"/>
      <c r="K85" s="112"/>
      <c r="L85" s="108"/>
      <c r="M85" s="112"/>
      <c r="N85" s="112"/>
      <c r="O85" s="108">
        <f t="shared" si="11"/>
        <v>9900</v>
      </c>
    </row>
    <row r="86" spans="1:15" s="96" customFormat="1" ht="15" customHeight="1">
      <c r="A86" s="148" t="s">
        <v>155</v>
      </c>
      <c r="B86" s="111" t="s">
        <v>3</v>
      </c>
      <c r="C86" s="112">
        <f>9200-3000</f>
        <v>6200</v>
      </c>
      <c r="D86" s="112"/>
      <c r="E86" s="112"/>
      <c r="F86" s="108"/>
      <c r="G86" s="112"/>
      <c r="H86" s="112"/>
      <c r="I86" s="108"/>
      <c r="J86" s="108"/>
      <c r="K86" s="112"/>
      <c r="L86" s="108"/>
      <c r="M86" s="112"/>
      <c r="N86" s="112"/>
      <c r="O86" s="108">
        <f t="shared" si="11"/>
        <v>6200</v>
      </c>
    </row>
    <row r="87" spans="1:15" s="96" customFormat="1" ht="15" customHeight="1">
      <c r="A87" s="148" t="s">
        <v>156</v>
      </c>
      <c r="B87" s="111" t="s">
        <v>2</v>
      </c>
      <c r="C87" s="112">
        <v>6600</v>
      </c>
      <c r="D87" s="112"/>
      <c r="E87" s="112"/>
      <c r="F87" s="108"/>
      <c r="G87" s="112"/>
      <c r="H87" s="112"/>
      <c r="I87" s="108"/>
      <c r="J87" s="108"/>
      <c r="K87" s="112"/>
      <c r="L87" s="108"/>
      <c r="M87" s="112"/>
      <c r="N87" s="112"/>
      <c r="O87" s="108">
        <f t="shared" si="11"/>
        <v>6600</v>
      </c>
    </row>
    <row r="88" spans="1:15" s="145" customFormat="1" ht="30" customHeight="1">
      <c r="A88" s="143" t="s">
        <v>230</v>
      </c>
      <c r="B88" s="144" t="s">
        <v>229</v>
      </c>
      <c r="C88" s="122">
        <f>370000+40000</f>
        <v>410000</v>
      </c>
      <c r="D88" s="122"/>
      <c r="E88" s="122"/>
      <c r="F88" s="122"/>
      <c r="G88" s="122"/>
      <c r="H88" s="122"/>
      <c r="I88" s="122"/>
      <c r="J88" s="122"/>
      <c r="K88" s="122"/>
      <c r="L88" s="122"/>
      <c r="M88" s="122"/>
      <c r="N88" s="122"/>
      <c r="O88" s="119">
        <f>C88+F88+I88+L88</f>
        <v>410000</v>
      </c>
    </row>
    <row r="89" spans="1:15" s="138" customFormat="1" ht="18" customHeight="1">
      <c r="A89" s="149" t="s">
        <v>77</v>
      </c>
      <c r="B89" s="150" t="s">
        <v>157</v>
      </c>
      <c r="C89" s="119">
        <f>14700+1000</f>
        <v>15700</v>
      </c>
      <c r="D89" s="108">
        <v>5120</v>
      </c>
      <c r="E89" s="108"/>
      <c r="F89" s="108">
        <f>372800+131+8600</f>
        <v>381531</v>
      </c>
      <c r="G89" s="108">
        <f>268200+100+6580</f>
        <v>274880</v>
      </c>
      <c r="H89" s="119"/>
      <c r="I89" s="119"/>
      <c r="J89" s="119"/>
      <c r="K89" s="119"/>
      <c r="L89" s="119"/>
      <c r="M89" s="119"/>
      <c r="N89" s="119"/>
      <c r="O89" s="119">
        <f>C89+F89+I89+L89</f>
        <v>397231</v>
      </c>
    </row>
    <row r="90" spans="1:15" s="95" customFormat="1" ht="18.75" customHeight="1">
      <c r="A90" s="130"/>
      <c r="B90" s="212" t="s">
        <v>381</v>
      </c>
      <c r="C90" s="212"/>
      <c r="D90" s="212"/>
      <c r="E90" s="212"/>
      <c r="F90" s="212"/>
      <c r="G90" s="212"/>
      <c r="H90" s="212"/>
      <c r="I90" s="212"/>
      <c r="J90" s="212"/>
      <c r="K90" s="212"/>
      <c r="L90" s="212"/>
      <c r="M90" s="212"/>
      <c r="N90" s="212"/>
      <c r="O90" s="212"/>
    </row>
    <row r="91" spans="1:15" s="128" customFormat="1" ht="16.5" customHeight="1">
      <c r="A91" s="131"/>
      <c r="B91" s="106" t="s">
        <v>41</v>
      </c>
      <c r="C91" s="107">
        <f aca="true" t="shared" si="15" ref="C91:O91">C92+C98+C106+C111</f>
        <v>118000</v>
      </c>
      <c r="D91" s="107">
        <f t="shared" si="15"/>
        <v>0</v>
      </c>
      <c r="E91" s="107">
        <f t="shared" si="15"/>
        <v>109000</v>
      </c>
      <c r="F91" s="107">
        <f t="shared" si="15"/>
        <v>238450</v>
      </c>
      <c r="G91" s="107">
        <f t="shared" si="15"/>
        <v>67260</v>
      </c>
      <c r="H91" s="107">
        <f t="shared" si="15"/>
        <v>123000</v>
      </c>
      <c r="I91" s="107">
        <f t="shared" si="15"/>
        <v>0</v>
      </c>
      <c r="J91" s="107">
        <f t="shared" si="15"/>
        <v>0</v>
      </c>
      <c r="K91" s="107">
        <f t="shared" si="15"/>
        <v>0</v>
      </c>
      <c r="L91" s="107">
        <f t="shared" si="15"/>
        <v>836280</v>
      </c>
      <c r="M91" s="107">
        <f t="shared" si="15"/>
        <v>3000</v>
      </c>
      <c r="N91" s="107">
        <f t="shared" si="15"/>
        <v>2000</v>
      </c>
      <c r="O91" s="107">
        <f t="shared" si="15"/>
        <v>1192730</v>
      </c>
    </row>
    <row r="92" spans="1:15" s="128" customFormat="1" ht="30" customHeight="1">
      <c r="A92" s="104" t="s">
        <v>78</v>
      </c>
      <c r="B92" s="106" t="s">
        <v>392</v>
      </c>
      <c r="C92" s="107">
        <f>SUM(C93,C96,C95,C97)</f>
        <v>0</v>
      </c>
      <c r="D92" s="107">
        <f aca="true" t="shared" si="16" ref="D92:K92">SUM(D93,D96,D95,D97)</f>
        <v>0</v>
      </c>
      <c r="E92" s="107">
        <f t="shared" si="16"/>
        <v>0</v>
      </c>
      <c r="F92" s="107">
        <f t="shared" si="16"/>
        <v>0</v>
      </c>
      <c r="G92" s="107">
        <f t="shared" si="16"/>
        <v>0</v>
      </c>
      <c r="H92" s="107">
        <f t="shared" si="16"/>
        <v>0</v>
      </c>
      <c r="I92" s="107">
        <f t="shared" si="16"/>
        <v>0</v>
      </c>
      <c r="J92" s="107"/>
      <c r="K92" s="107">
        <f t="shared" si="16"/>
        <v>0</v>
      </c>
      <c r="L92" s="107">
        <f>SUM(L93:L97)</f>
        <v>60000</v>
      </c>
      <c r="M92" s="107">
        <f>SUM(M93:M97)</f>
        <v>0</v>
      </c>
      <c r="N92" s="107">
        <f>SUM(N93:N97)</f>
        <v>0</v>
      </c>
      <c r="O92" s="108">
        <f aca="true" t="shared" si="17" ref="O92:O113">C92+F92+I92+L92</f>
        <v>60000</v>
      </c>
    </row>
    <row r="93" spans="1:15" s="133" customFormat="1" ht="29.25" customHeight="1">
      <c r="A93" s="125" t="s">
        <v>96</v>
      </c>
      <c r="B93" s="126" t="s">
        <v>281</v>
      </c>
      <c r="C93" s="132"/>
      <c r="D93" s="132"/>
      <c r="E93" s="132"/>
      <c r="F93" s="132"/>
      <c r="G93" s="132"/>
      <c r="H93" s="132"/>
      <c r="I93" s="132"/>
      <c r="J93" s="132"/>
      <c r="K93" s="132"/>
      <c r="L93" s="132">
        <v>11000</v>
      </c>
      <c r="M93" s="132"/>
      <c r="N93" s="132"/>
      <c r="O93" s="108">
        <f t="shared" si="17"/>
        <v>11000</v>
      </c>
    </row>
    <row r="94" spans="1:15" s="133" customFormat="1" ht="29.25" customHeight="1">
      <c r="A94" s="151" t="s">
        <v>97</v>
      </c>
      <c r="B94" s="126" t="s">
        <v>278</v>
      </c>
      <c r="C94" s="152"/>
      <c r="D94" s="152"/>
      <c r="E94" s="152"/>
      <c r="F94" s="152"/>
      <c r="G94" s="152"/>
      <c r="H94" s="152"/>
      <c r="I94" s="152"/>
      <c r="J94" s="152"/>
      <c r="K94" s="152"/>
      <c r="L94" s="152">
        <v>18000</v>
      </c>
      <c r="M94" s="152"/>
      <c r="N94" s="152"/>
      <c r="O94" s="108">
        <f t="shared" si="17"/>
        <v>18000</v>
      </c>
    </row>
    <row r="95" spans="1:15" s="155" customFormat="1" ht="16.5" customHeight="1">
      <c r="A95" s="151" t="s">
        <v>98</v>
      </c>
      <c r="B95" s="153" t="s">
        <v>282</v>
      </c>
      <c r="C95" s="154"/>
      <c r="D95" s="154"/>
      <c r="E95" s="154"/>
      <c r="F95" s="154"/>
      <c r="G95" s="154"/>
      <c r="H95" s="154"/>
      <c r="I95" s="154"/>
      <c r="J95" s="154"/>
      <c r="K95" s="154"/>
      <c r="L95" s="154">
        <v>1000</v>
      </c>
      <c r="M95" s="154"/>
      <c r="N95" s="154"/>
      <c r="O95" s="108">
        <f t="shared" si="17"/>
        <v>1000</v>
      </c>
    </row>
    <row r="96" spans="1:15" s="133" customFormat="1" ht="30" customHeight="1">
      <c r="A96" s="125" t="s">
        <v>158</v>
      </c>
      <c r="B96" s="126" t="s">
        <v>375</v>
      </c>
      <c r="C96" s="132"/>
      <c r="D96" s="132"/>
      <c r="E96" s="132"/>
      <c r="F96" s="132"/>
      <c r="G96" s="132"/>
      <c r="H96" s="132"/>
      <c r="I96" s="132"/>
      <c r="J96" s="132"/>
      <c r="K96" s="132"/>
      <c r="L96" s="132">
        <v>20000</v>
      </c>
      <c r="M96" s="132"/>
      <c r="N96" s="132"/>
      <c r="O96" s="108">
        <f t="shared" si="17"/>
        <v>20000</v>
      </c>
    </row>
    <row r="97" spans="1:15" s="156" customFormat="1" ht="18" customHeight="1">
      <c r="A97" s="125" t="s">
        <v>277</v>
      </c>
      <c r="B97" s="126" t="s">
        <v>44</v>
      </c>
      <c r="C97" s="112"/>
      <c r="D97" s="112"/>
      <c r="E97" s="112"/>
      <c r="F97" s="112"/>
      <c r="G97" s="112"/>
      <c r="H97" s="112"/>
      <c r="I97" s="112"/>
      <c r="J97" s="112"/>
      <c r="K97" s="112"/>
      <c r="L97" s="112">
        <v>10000</v>
      </c>
      <c r="M97" s="112"/>
      <c r="N97" s="112"/>
      <c r="O97" s="108">
        <f t="shared" si="17"/>
        <v>10000</v>
      </c>
    </row>
    <row r="98" spans="1:15" s="124" customFormat="1" ht="18.75" customHeight="1">
      <c r="A98" s="104" t="s">
        <v>79</v>
      </c>
      <c r="B98" s="106" t="s">
        <v>55</v>
      </c>
      <c r="C98" s="108">
        <f aca="true" t="shared" si="18" ref="C98:N98">SUM(C99:C105)</f>
        <v>118000</v>
      </c>
      <c r="D98" s="108">
        <f t="shared" si="18"/>
        <v>0</v>
      </c>
      <c r="E98" s="108">
        <f t="shared" si="18"/>
        <v>109000</v>
      </c>
      <c r="F98" s="108">
        <f t="shared" si="18"/>
        <v>123700</v>
      </c>
      <c r="G98" s="108">
        <f t="shared" si="18"/>
        <v>500</v>
      </c>
      <c r="H98" s="108">
        <f t="shared" si="18"/>
        <v>123000</v>
      </c>
      <c r="I98" s="108">
        <f t="shared" si="18"/>
        <v>0</v>
      </c>
      <c r="J98" s="108">
        <f t="shared" si="18"/>
        <v>0</v>
      </c>
      <c r="K98" s="108">
        <f t="shared" si="18"/>
        <v>0</v>
      </c>
      <c r="L98" s="108">
        <f t="shared" si="18"/>
        <v>700000</v>
      </c>
      <c r="M98" s="108">
        <f t="shared" si="18"/>
        <v>0</v>
      </c>
      <c r="N98" s="108">
        <f t="shared" si="18"/>
        <v>0</v>
      </c>
      <c r="O98" s="108">
        <f t="shared" si="17"/>
        <v>941700</v>
      </c>
    </row>
    <row r="99" spans="1:15" s="128" customFormat="1" ht="42" customHeight="1">
      <c r="A99" s="125" t="s">
        <v>203</v>
      </c>
      <c r="B99" s="126" t="s">
        <v>390</v>
      </c>
      <c r="C99" s="132">
        <v>50000</v>
      </c>
      <c r="D99" s="132"/>
      <c r="E99" s="132">
        <v>50000</v>
      </c>
      <c r="F99" s="132"/>
      <c r="G99" s="132"/>
      <c r="H99" s="132"/>
      <c r="I99" s="132">
        <f>K99</f>
        <v>0</v>
      </c>
      <c r="J99" s="132"/>
      <c r="K99" s="132"/>
      <c r="L99" s="132"/>
      <c r="M99" s="132"/>
      <c r="N99" s="132"/>
      <c r="O99" s="108">
        <f t="shared" si="17"/>
        <v>50000</v>
      </c>
    </row>
    <row r="100" spans="1:15" s="128" customFormat="1" ht="42.75" customHeight="1" hidden="1">
      <c r="A100" s="110" t="s">
        <v>99</v>
      </c>
      <c r="B100" s="126" t="s">
        <v>320</v>
      </c>
      <c r="C100" s="132"/>
      <c r="D100" s="107"/>
      <c r="E100" s="107"/>
      <c r="F100" s="107"/>
      <c r="G100" s="107"/>
      <c r="H100" s="107"/>
      <c r="I100" s="132">
        <f>K100</f>
        <v>0</v>
      </c>
      <c r="J100" s="107"/>
      <c r="K100" s="132"/>
      <c r="L100" s="107"/>
      <c r="M100" s="107"/>
      <c r="N100" s="107"/>
      <c r="O100" s="108">
        <f t="shared" si="17"/>
        <v>0</v>
      </c>
    </row>
    <row r="101" spans="1:15" s="128" customFormat="1" ht="29.25" customHeight="1">
      <c r="A101" s="110" t="s">
        <v>99</v>
      </c>
      <c r="B101" s="126" t="s">
        <v>534</v>
      </c>
      <c r="C101" s="132">
        <f>32000+9000</f>
        <v>41000</v>
      </c>
      <c r="D101" s="107"/>
      <c r="E101" s="132">
        <v>32000</v>
      </c>
      <c r="F101" s="132">
        <f>150000-27000</f>
        <v>123000</v>
      </c>
      <c r="G101" s="132"/>
      <c r="H101" s="132">
        <f>150000-27000</f>
        <v>123000</v>
      </c>
      <c r="I101" s="132"/>
      <c r="J101" s="107"/>
      <c r="K101" s="132"/>
      <c r="L101" s="107"/>
      <c r="M101" s="107"/>
      <c r="N101" s="107"/>
      <c r="O101" s="108">
        <f t="shared" si="17"/>
        <v>164000</v>
      </c>
    </row>
    <row r="102" spans="1:15" s="145" customFormat="1" ht="15.75" customHeight="1">
      <c r="A102" s="113" t="s">
        <v>100</v>
      </c>
      <c r="B102" s="144" t="s">
        <v>321</v>
      </c>
      <c r="C102" s="146"/>
      <c r="D102" s="157"/>
      <c r="E102" s="157"/>
      <c r="F102" s="146">
        <f>3400-2700</f>
        <v>700</v>
      </c>
      <c r="G102" s="146">
        <f>2100-1600</f>
        <v>500</v>
      </c>
      <c r="H102" s="146"/>
      <c r="I102" s="146"/>
      <c r="J102" s="157"/>
      <c r="K102" s="146"/>
      <c r="L102" s="157"/>
      <c r="M102" s="157"/>
      <c r="N102" s="157"/>
      <c r="O102" s="119">
        <f t="shared" si="17"/>
        <v>700</v>
      </c>
    </row>
    <row r="103" spans="1:15" s="145" customFormat="1" ht="30" customHeight="1">
      <c r="A103" s="113" t="s">
        <v>247</v>
      </c>
      <c r="B103" s="144" t="s">
        <v>387</v>
      </c>
      <c r="C103" s="146">
        <f>40000-25000</f>
        <v>15000</v>
      </c>
      <c r="D103" s="157"/>
      <c r="E103" s="146">
        <f>40000-25000</f>
        <v>15000</v>
      </c>
      <c r="F103" s="157"/>
      <c r="G103" s="157"/>
      <c r="H103" s="157"/>
      <c r="I103" s="146"/>
      <c r="J103" s="157"/>
      <c r="K103" s="146"/>
      <c r="L103" s="157"/>
      <c r="M103" s="157"/>
      <c r="N103" s="157"/>
      <c r="O103" s="119">
        <f t="shared" si="17"/>
        <v>15000</v>
      </c>
    </row>
    <row r="104" spans="1:15" s="147" customFormat="1" ht="16.5" customHeight="1">
      <c r="A104" s="113" t="s">
        <v>386</v>
      </c>
      <c r="B104" s="144" t="s">
        <v>204</v>
      </c>
      <c r="C104" s="146"/>
      <c r="D104" s="146"/>
      <c r="E104" s="146"/>
      <c r="F104" s="146"/>
      <c r="G104" s="146"/>
      <c r="H104" s="146"/>
      <c r="I104" s="146"/>
      <c r="J104" s="146"/>
      <c r="K104" s="146"/>
      <c r="L104" s="146">
        <f>600000+100000</f>
        <v>700000</v>
      </c>
      <c r="M104" s="146"/>
      <c r="N104" s="146"/>
      <c r="O104" s="119">
        <f>C104+F104+I104+L104</f>
        <v>700000</v>
      </c>
    </row>
    <row r="105" spans="1:15" s="133" customFormat="1" ht="44.25" customHeight="1">
      <c r="A105" s="110" t="s">
        <v>527</v>
      </c>
      <c r="B105" s="126" t="s">
        <v>535</v>
      </c>
      <c r="C105" s="132">
        <v>12000</v>
      </c>
      <c r="D105" s="132"/>
      <c r="E105" s="132">
        <v>12000</v>
      </c>
      <c r="F105" s="132"/>
      <c r="G105" s="132"/>
      <c r="H105" s="132"/>
      <c r="I105" s="132"/>
      <c r="J105" s="132"/>
      <c r="K105" s="132"/>
      <c r="L105" s="132"/>
      <c r="M105" s="132"/>
      <c r="N105" s="132"/>
      <c r="O105" s="108">
        <f t="shared" si="17"/>
        <v>12000</v>
      </c>
    </row>
    <row r="106" spans="1:15" s="103" customFormat="1" ht="28.5" customHeight="1">
      <c r="A106" s="104" t="s">
        <v>80</v>
      </c>
      <c r="B106" s="106" t="s">
        <v>388</v>
      </c>
      <c r="C106" s="112">
        <f>SUM(C107:C110)</f>
        <v>0</v>
      </c>
      <c r="D106" s="112">
        <f aca="true" t="shared" si="19" ref="D106:N106">SUM(D107:D110)</f>
        <v>0</v>
      </c>
      <c r="E106" s="112">
        <f t="shared" si="19"/>
        <v>0</v>
      </c>
      <c r="F106" s="112">
        <f t="shared" si="19"/>
        <v>0</v>
      </c>
      <c r="G106" s="112">
        <f t="shared" si="19"/>
        <v>0</v>
      </c>
      <c r="H106" s="112">
        <f t="shared" si="19"/>
        <v>0</v>
      </c>
      <c r="I106" s="112">
        <f t="shared" si="19"/>
        <v>0</v>
      </c>
      <c r="J106" s="112">
        <f t="shared" si="19"/>
        <v>0</v>
      </c>
      <c r="K106" s="112">
        <f t="shared" si="19"/>
        <v>0</v>
      </c>
      <c r="L106" s="108">
        <f t="shared" si="19"/>
        <v>71280</v>
      </c>
      <c r="M106" s="112">
        <f t="shared" si="19"/>
        <v>0</v>
      </c>
      <c r="N106" s="108">
        <f t="shared" si="19"/>
        <v>2000</v>
      </c>
      <c r="O106" s="108">
        <f t="shared" si="17"/>
        <v>71280</v>
      </c>
    </row>
    <row r="107" spans="1:15" s="159" customFormat="1" ht="15.75" customHeight="1">
      <c r="A107" s="148" t="s">
        <v>101</v>
      </c>
      <c r="B107" s="111" t="s">
        <v>192</v>
      </c>
      <c r="C107" s="158"/>
      <c r="D107" s="158"/>
      <c r="E107" s="158"/>
      <c r="F107" s="158"/>
      <c r="G107" s="158"/>
      <c r="H107" s="158"/>
      <c r="I107" s="158"/>
      <c r="J107" s="158"/>
      <c r="K107" s="158"/>
      <c r="L107" s="158">
        <v>3490</v>
      </c>
      <c r="M107" s="158"/>
      <c r="N107" s="158"/>
      <c r="O107" s="108">
        <f t="shared" si="17"/>
        <v>3490</v>
      </c>
    </row>
    <row r="108" spans="1:15" s="159" customFormat="1" ht="15.75" customHeight="1">
      <c r="A108" s="160" t="s">
        <v>102</v>
      </c>
      <c r="B108" s="114" t="s">
        <v>193</v>
      </c>
      <c r="C108" s="158"/>
      <c r="D108" s="158"/>
      <c r="E108" s="158"/>
      <c r="F108" s="158"/>
      <c r="G108" s="158"/>
      <c r="H108" s="158"/>
      <c r="I108" s="158"/>
      <c r="J108" s="158"/>
      <c r="K108" s="158"/>
      <c r="L108" s="161">
        <f>63840+2000</f>
        <v>65840</v>
      </c>
      <c r="M108" s="161"/>
      <c r="N108" s="161">
        <v>2000</v>
      </c>
      <c r="O108" s="119">
        <f t="shared" si="17"/>
        <v>65840</v>
      </c>
    </row>
    <row r="109" spans="1:15" s="159" customFormat="1" ht="15.75" customHeight="1">
      <c r="A109" s="148" t="s">
        <v>103</v>
      </c>
      <c r="B109" s="111" t="s">
        <v>194</v>
      </c>
      <c r="C109" s="158"/>
      <c r="D109" s="158"/>
      <c r="E109" s="158"/>
      <c r="F109" s="158"/>
      <c r="G109" s="158"/>
      <c r="H109" s="158"/>
      <c r="I109" s="158"/>
      <c r="J109" s="158"/>
      <c r="K109" s="158"/>
      <c r="L109" s="158">
        <v>90</v>
      </c>
      <c r="M109" s="158"/>
      <c r="N109" s="158"/>
      <c r="O109" s="108">
        <f t="shared" si="17"/>
        <v>90</v>
      </c>
    </row>
    <row r="110" spans="1:15" s="103" customFormat="1" ht="15.75" customHeight="1">
      <c r="A110" s="125" t="s">
        <v>199</v>
      </c>
      <c r="B110" s="111" t="s">
        <v>195</v>
      </c>
      <c r="C110" s="108"/>
      <c r="D110" s="108"/>
      <c r="E110" s="108"/>
      <c r="F110" s="112"/>
      <c r="G110" s="112"/>
      <c r="H110" s="108"/>
      <c r="I110" s="108"/>
      <c r="J110" s="108"/>
      <c r="K110" s="108"/>
      <c r="L110" s="112">
        <v>1860</v>
      </c>
      <c r="M110" s="108"/>
      <c r="N110" s="108"/>
      <c r="O110" s="108">
        <f t="shared" si="17"/>
        <v>1860</v>
      </c>
    </row>
    <row r="111" spans="1:15" s="103" customFormat="1" ht="28.5" customHeight="1">
      <c r="A111" s="162" t="s">
        <v>231</v>
      </c>
      <c r="B111" s="163" t="s">
        <v>232</v>
      </c>
      <c r="C111" s="107">
        <f>SUM(C112,C113)</f>
        <v>0</v>
      </c>
      <c r="D111" s="107">
        <f aca="true" t="shared" si="20" ref="D111:N111">SUM(D112,D113)</f>
        <v>0</v>
      </c>
      <c r="E111" s="107">
        <f t="shared" si="20"/>
        <v>0</v>
      </c>
      <c r="F111" s="107">
        <f t="shared" si="20"/>
        <v>114750</v>
      </c>
      <c r="G111" s="107">
        <f t="shared" si="20"/>
        <v>66760</v>
      </c>
      <c r="H111" s="107">
        <f t="shared" si="20"/>
        <v>0</v>
      </c>
      <c r="I111" s="107">
        <f t="shared" si="20"/>
        <v>0</v>
      </c>
      <c r="J111" s="107">
        <f t="shared" si="20"/>
        <v>0</v>
      </c>
      <c r="K111" s="107">
        <f t="shared" si="20"/>
        <v>0</v>
      </c>
      <c r="L111" s="107">
        <f t="shared" si="20"/>
        <v>5000</v>
      </c>
      <c r="M111" s="107">
        <f t="shared" si="20"/>
        <v>3000</v>
      </c>
      <c r="N111" s="107">
        <f t="shared" si="20"/>
        <v>0</v>
      </c>
      <c r="O111" s="108">
        <f t="shared" si="17"/>
        <v>119750</v>
      </c>
    </row>
    <row r="112" spans="1:15" s="128" customFormat="1" ht="30" customHeight="1">
      <c r="A112" s="125" t="s">
        <v>104</v>
      </c>
      <c r="B112" s="126" t="s">
        <v>279</v>
      </c>
      <c r="C112" s="112"/>
      <c r="D112" s="112"/>
      <c r="E112" s="112"/>
      <c r="F112" s="112">
        <f>67800+1300</f>
        <v>69100</v>
      </c>
      <c r="G112" s="112">
        <f>41500+1000</f>
        <v>42500</v>
      </c>
      <c r="H112" s="112"/>
      <c r="I112" s="112"/>
      <c r="J112" s="112"/>
      <c r="K112" s="112"/>
      <c r="L112" s="112"/>
      <c r="M112" s="112"/>
      <c r="N112" s="112"/>
      <c r="O112" s="108">
        <f t="shared" si="17"/>
        <v>69100</v>
      </c>
    </row>
    <row r="113" spans="1:15" s="128" customFormat="1" ht="18" customHeight="1">
      <c r="A113" s="125" t="s">
        <v>200</v>
      </c>
      <c r="B113" s="126" t="s">
        <v>280</v>
      </c>
      <c r="C113" s="132"/>
      <c r="D113" s="107"/>
      <c r="E113" s="107"/>
      <c r="F113" s="132">
        <f>44800+850</f>
        <v>45650</v>
      </c>
      <c r="G113" s="132">
        <f>23600+660</f>
        <v>24260</v>
      </c>
      <c r="H113" s="107"/>
      <c r="I113" s="107"/>
      <c r="J113" s="107"/>
      <c r="K113" s="107"/>
      <c r="L113" s="132">
        <f>1000+4000</f>
        <v>5000</v>
      </c>
      <c r="M113" s="132">
        <v>3000</v>
      </c>
      <c r="N113" s="107"/>
      <c r="O113" s="108">
        <f t="shared" si="17"/>
        <v>50650</v>
      </c>
    </row>
    <row r="114" spans="1:15" s="95" customFormat="1" ht="18" customHeight="1">
      <c r="A114" s="130"/>
      <c r="B114" s="212" t="s">
        <v>384</v>
      </c>
      <c r="C114" s="212"/>
      <c r="D114" s="212"/>
      <c r="E114" s="212"/>
      <c r="F114" s="212"/>
      <c r="G114" s="212"/>
      <c r="H114" s="212"/>
      <c r="I114" s="212"/>
      <c r="J114" s="212"/>
      <c r="K114" s="212"/>
      <c r="L114" s="212"/>
      <c r="M114" s="212"/>
      <c r="N114" s="212"/>
      <c r="O114" s="212"/>
    </row>
    <row r="115" spans="1:15" s="128" customFormat="1" ht="18" customHeight="1">
      <c r="A115" s="131"/>
      <c r="B115" s="106" t="s">
        <v>41</v>
      </c>
      <c r="C115" s="107">
        <f aca="true" t="shared" si="21" ref="C115:N115">SUM(C116,C126,C131,C132,C133,C134,C135,C136,C137,C138)</f>
        <v>1930940</v>
      </c>
      <c r="D115" s="107">
        <f t="shared" si="21"/>
        <v>1135800</v>
      </c>
      <c r="E115" s="107">
        <f t="shared" si="21"/>
        <v>10000</v>
      </c>
      <c r="F115" s="107">
        <f t="shared" si="21"/>
        <v>246473</v>
      </c>
      <c r="G115" s="107">
        <f t="shared" si="21"/>
        <v>15630</v>
      </c>
      <c r="H115" s="107">
        <f t="shared" si="21"/>
        <v>226000</v>
      </c>
      <c r="I115" s="107">
        <f t="shared" si="21"/>
        <v>0</v>
      </c>
      <c r="J115" s="107">
        <f t="shared" si="21"/>
        <v>0</v>
      </c>
      <c r="K115" s="107">
        <f t="shared" si="21"/>
        <v>0</v>
      </c>
      <c r="L115" s="107">
        <f t="shared" si="21"/>
        <v>57600</v>
      </c>
      <c r="M115" s="107">
        <f t="shared" si="21"/>
        <v>0</v>
      </c>
      <c r="N115" s="107">
        <f t="shared" si="21"/>
        <v>1450</v>
      </c>
      <c r="O115" s="108">
        <f>C115+F115+I115+L115</f>
        <v>2235013</v>
      </c>
    </row>
    <row r="116" spans="1:15" s="128" customFormat="1" ht="17.25" customHeight="1">
      <c r="A116" s="104" t="s">
        <v>81</v>
      </c>
      <c r="B116" s="106" t="s">
        <v>30</v>
      </c>
      <c r="C116" s="107">
        <f aca="true" t="shared" si="22" ref="C116:N116">SUM(C117:C125)</f>
        <v>85400</v>
      </c>
      <c r="D116" s="107">
        <f t="shared" si="22"/>
        <v>0</v>
      </c>
      <c r="E116" s="107">
        <f t="shared" si="22"/>
        <v>0</v>
      </c>
      <c r="F116" s="107">
        <f t="shared" si="22"/>
        <v>226000</v>
      </c>
      <c r="G116" s="107">
        <f t="shared" si="22"/>
        <v>0</v>
      </c>
      <c r="H116" s="107">
        <f t="shared" si="22"/>
        <v>226000</v>
      </c>
      <c r="I116" s="107">
        <f t="shared" si="22"/>
        <v>0</v>
      </c>
      <c r="J116" s="107">
        <f t="shared" si="22"/>
        <v>0</v>
      </c>
      <c r="K116" s="107">
        <f t="shared" si="22"/>
        <v>0</v>
      </c>
      <c r="L116" s="107">
        <f t="shared" si="22"/>
        <v>0</v>
      </c>
      <c r="M116" s="107">
        <f t="shared" si="22"/>
        <v>0</v>
      </c>
      <c r="N116" s="107">
        <f t="shared" si="22"/>
        <v>0</v>
      </c>
      <c r="O116" s="108">
        <f aca="true" t="shared" si="23" ref="O116:O137">C116+F116+I116+L116</f>
        <v>311400</v>
      </c>
    </row>
    <row r="117" spans="1:15" s="133" customFormat="1" ht="30" customHeight="1">
      <c r="A117" s="125" t="s">
        <v>201</v>
      </c>
      <c r="B117" s="126" t="s">
        <v>389</v>
      </c>
      <c r="C117" s="132">
        <v>12500</v>
      </c>
      <c r="D117" s="132"/>
      <c r="E117" s="132"/>
      <c r="F117" s="132"/>
      <c r="G117" s="132"/>
      <c r="H117" s="132"/>
      <c r="I117" s="132"/>
      <c r="J117" s="132"/>
      <c r="K117" s="132"/>
      <c r="L117" s="132"/>
      <c r="M117" s="132"/>
      <c r="N117" s="132"/>
      <c r="O117" s="108">
        <f t="shared" si="23"/>
        <v>12500</v>
      </c>
    </row>
    <row r="118" spans="1:15" s="133" customFormat="1" ht="30" customHeight="1">
      <c r="A118" s="125" t="s">
        <v>234</v>
      </c>
      <c r="B118" s="126" t="s">
        <v>287</v>
      </c>
      <c r="C118" s="132"/>
      <c r="D118" s="132"/>
      <c r="E118" s="132"/>
      <c r="F118" s="132">
        <v>226000</v>
      </c>
      <c r="G118" s="132"/>
      <c r="H118" s="132">
        <v>226000</v>
      </c>
      <c r="I118" s="132"/>
      <c r="J118" s="132"/>
      <c r="K118" s="132"/>
      <c r="L118" s="132"/>
      <c r="M118" s="132"/>
      <c r="N118" s="132"/>
      <c r="O118" s="108">
        <f t="shared" si="23"/>
        <v>226000</v>
      </c>
    </row>
    <row r="119" spans="1:15" s="133" customFormat="1" ht="29.25" customHeight="1">
      <c r="A119" s="125" t="s">
        <v>248</v>
      </c>
      <c r="B119" s="126" t="s">
        <v>284</v>
      </c>
      <c r="C119" s="132">
        <v>1400</v>
      </c>
      <c r="D119" s="132"/>
      <c r="E119" s="132"/>
      <c r="F119" s="132"/>
      <c r="G119" s="132"/>
      <c r="H119" s="132"/>
      <c r="I119" s="132"/>
      <c r="J119" s="132"/>
      <c r="K119" s="132"/>
      <c r="L119" s="132"/>
      <c r="M119" s="132"/>
      <c r="N119" s="132"/>
      <c r="O119" s="108">
        <f t="shared" si="23"/>
        <v>1400</v>
      </c>
    </row>
    <row r="120" spans="1:15" s="147" customFormat="1" ht="28.5" customHeight="1">
      <c r="A120" s="113" t="s">
        <v>249</v>
      </c>
      <c r="B120" s="144" t="s">
        <v>285</v>
      </c>
      <c r="C120" s="146">
        <f>31000-10000</f>
        <v>21000</v>
      </c>
      <c r="D120" s="146"/>
      <c r="E120" s="146"/>
      <c r="F120" s="146"/>
      <c r="G120" s="146"/>
      <c r="H120" s="146"/>
      <c r="I120" s="146"/>
      <c r="J120" s="146"/>
      <c r="K120" s="146"/>
      <c r="L120" s="146"/>
      <c r="M120" s="146"/>
      <c r="N120" s="146"/>
      <c r="O120" s="119">
        <f t="shared" si="23"/>
        <v>21000</v>
      </c>
    </row>
    <row r="121" spans="1:15" s="133" customFormat="1" ht="15.75" customHeight="1">
      <c r="A121" s="113" t="s">
        <v>250</v>
      </c>
      <c r="B121" s="144" t="s">
        <v>165</v>
      </c>
      <c r="C121" s="146">
        <f>4000+10000</f>
        <v>14000</v>
      </c>
      <c r="D121" s="132"/>
      <c r="E121" s="132"/>
      <c r="F121" s="132"/>
      <c r="G121" s="132"/>
      <c r="H121" s="132"/>
      <c r="I121" s="132"/>
      <c r="J121" s="132"/>
      <c r="K121" s="132"/>
      <c r="L121" s="132"/>
      <c r="M121" s="132"/>
      <c r="N121" s="132"/>
      <c r="O121" s="119">
        <f>C121+F121+I121+L121</f>
        <v>14000</v>
      </c>
    </row>
    <row r="122" spans="1:15" s="147" customFormat="1" ht="15.75" customHeight="1">
      <c r="A122" s="113" t="s">
        <v>251</v>
      </c>
      <c r="B122" s="144" t="s">
        <v>233</v>
      </c>
      <c r="C122" s="146">
        <f>12000+1000</f>
        <v>13000</v>
      </c>
      <c r="D122" s="146"/>
      <c r="E122" s="146"/>
      <c r="F122" s="146"/>
      <c r="G122" s="146"/>
      <c r="H122" s="146"/>
      <c r="I122" s="146"/>
      <c r="J122" s="146"/>
      <c r="K122" s="146"/>
      <c r="L122" s="146"/>
      <c r="M122" s="146"/>
      <c r="N122" s="146"/>
      <c r="O122" s="119">
        <f>C122+F122+I122+L122</f>
        <v>13000</v>
      </c>
    </row>
    <row r="123" spans="1:15" s="133" customFormat="1" ht="15.75" customHeight="1">
      <c r="A123" s="125" t="s">
        <v>252</v>
      </c>
      <c r="B123" s="126" t="s">
        <v>205</v>
      </c>
      <c r="C123" s="132">
        <v>3500</v>
      </c>
      <c r="D123" s="132"/>
      <c r="E123" s="132"/>
      <c r="F123" s="132"/>
      <c r="G123" s="132"/>
      <c r="H123" s="132"/>
      <c r="I123" s="132"/>
      <c r="J123" s="132"/>
      <c r="K123" s="132"/>
      <c r="L123" s="132"/>
      <c r="M123" s="132"/>
      <c r="N123" s="132"/>
      <c r="O123" s="108">
        <f>C123+F123+I123+L123</f>
        <v>3500</v>
      </c>
    </row>
    <row r="124" spans="1:15" s="128" customFormat="1" ht="42.75" customHeight="1">
      <c r="A124" s="125" t="s">
        <v>253</v>
      </c>
      <c r="B124" s="126" t="s">
        <v>283</v>
      </c>
      <c r="C124" s="112">
        <v>20000</v>
      </c>
      <c r="D124" s="127"/>
      <c r="E124" s="127"/>
      <c r="F124" s="127"/>
      <c r="G124" s="127"/>
      <c r="H124" s="127"/>
      <c r="I124" s="127"/>
      <c r="J124" s="127"/>
      <c r="K124" s="127"/>
      <c r="L124" s="127"/>
      <c r="M124" s="127"/>
      <c r="N124" s="127"/>
      <c r="O124" s="108">
        <f>C124+F124+I124+L124</f>
        <v>20000</v>
      </c>
    </row>
    <row r="125" spans="1:15" s="133" customFormat="1" ht="27.75" customHeight="1" hidden="1">
      <c r="A125" s="110" t="s">
        <v>253</v>
      </c>
      <c r="B125" s="126" t="s">
        <v>287</v>
      </c>
      <c r="C125" s="132"/>
      <c r="D125" s="132"/>
      <c r="E125" s="132"/>
      <c r="F125" s="132"/>
      <c r="G125" s="132"/>
      <c r="H125" s="132"/>
      <c r="I125" s="132"/>
      <c r="J125" s="132"/>
      <c r="K125" s="132"/>
      <c r="L125" s="132"/>
      <c r="M125" s="132"/>
      <c r="N125" s="132"/>
      <c r="O125" s="108">
        <f>C125+F125+I125+L125</f>
        <v>0</v>
      </c>
    </row>
    <row r="126" spans="1:15" s="124" customFormat="1" ht="27.75" customHeight="1">
      <c r="A126" s="104" t="s">
        <v>117</v>
      </c>
      <c r="B126" s="106" t="s">
        <v>31</v>
      </c>
      <c r="C126" s="108">
        <f>SUM(C127:C130)</f>
        <v>68500</v>
      </c>
      <c r="D126" s="108">
        <f aca="true" t="shared" si="24" ref="D126:N126">SUM(D127:D130)</f>
        <v>0</v>
      </c>
      <c r="E126" s="108">
        <f t="shared" si="24"/>
        <v>10000</v>
      </c>
      <c r="F126" s="108">
        <f t="shared" si="24"/>
        <v>0</v>
      </c>
      <c r="G126" s="108">
        <f t="shared" si="24"/>
        <v>0</v>
      </c>
      <c r="H126" s="108">
        <f t="shared" si="24"/>
        <v>0</v>
      </c>
      <c r="I126" s="108">
        <f t="shared" si="24"/>
        <v>0</v>
      </c>
      <c r="J126" s="108">
        <f t="shared" si="24"/>
        <v>0</v>
      </c>
      <c r="K126" s="108">
        <f t="shared" si="24"/>
        <v>0</v>
      </c>
      <c r="L126" s="108">
        <f t="shared" si="24"/>
        <v>0</v>
      </c>
      <c r="M126" s="108">
        <f t="shared" si="24"/>
        <v>0</v>
      </c>
      <c r="N126" s="108">
        <f t="shared" si="24"/>
        <v>0</v>
      </c>
      <c r="O126" s="108">
        <f t="shared" si="23"/>
        <v>68500</v>
      </c>
    </row>
    <row r="127" spans="1:15" s="128" customFormat="1" ht="30.75" customHeight="1">
      <c r="A127" s="120" t="s">
        <v>254</v>
      </c>
      <c r="B127" s="111" t="s">
        <v>244</v>
      </c>
      <c r="C127" s="112">
        <f>20000</f>
        <v>20000</v>
      </c>
      <c r="D127" s="127"/>
      <c r="E127" s="112">
        <v>10000</v>
      </c>
      <c r="F127" s="127"/>
      <c r="G127" s="127"/>
      <c r="H127" s="127"/>
      <c r="I127" s="127"/>
      <c r="J127" s="127"/>
      <c r="K127" s="127"/>
      <c r="L127" s="127"/>
      <c r="M127" s="127"/>
      <c r="N127" s="127"/>
      <c r="O127" s="108">
        <f t="shared" si="23"/>
        <v>20000</v>
      </c>
    </row>
    <row r="128" spans="1:15" s="133" customFormat="1" ht="15.75" customHeight="1">
      <c r="A128" s="164" t="s">
        <v>255</v>
      </c>
      <c r="B128" s="126" t="s">
        <v>304</v>
      </c>
      <c r="C128" s="112">
        <v>10000</v>
      </c>
      <c r="D128" s="132"/>
      <c r="E128" s="132"/>
      <c r="F128" s="132"/>
      <c r="G128" s="132"/>
      <c r="H128" s="132"/>
      <c r="I128" s="132"/>
      <c r="J128" s="132"/>
      <c r="K128" s="132"/>
      <c r="L128" s="132"/>
      <c r="M128" s="132"/>
      <c r="N128" s="132"/>
      <c r="O128" s="108">
        <f>C128+F128+I128+L128</f>
        <v>10000</v>
      </c>
    </row>
    <row r="129" spans="1:15" s="133" customFormat="1" ht="44.25" customHeight="1">
      <c r="A129" s="164" t="s">
        <v>286</v>
      </c>
      <c r="B129" s="126" t="s">
        <v>305</v>
      </c>
      <c r="C129" s="112">
        <v>9000</v>
      </c>
      <c r="D129" s="132"/>
      <c r="E129" s="132"/>
      <c r="F129" s="132"/>
      <c r="G129" s="132"/>
      <c r="H129" s="132"/>
      <c r="I129" s="132"/>
      <c r="J129" s="132"/>
      <c r="K129" s="132"/>
      <c r="L129" s="132"/>
      <c r="M129" s="132"/>
      <c r="N129" s="132"/>
      <c r="O129" s="108">
        <f>C129+F129+I129+L129</f>
        <v>9000</v>
      </c>
    </row>
    <row r="130" spans="1:15" s="133" customFormat="1" ht="15.75" customHeight="1">
      <c r="A130" s="164" t="s">
        <v>303</v>
      </c>
      <c r="B130" s="126" t="s">
        <v>45</v>
      </c>
      <c r="C130" s="112">
        <v>29500</v>
      </c>
      <c r="D130" s="132"/>
      <c r="E130" s="132"/>
      <c r="F130" s="132"/>
      <c r="G130" s="132"/>
      <c r="H130" s="132"/>
      <c r="I130" s="132"/>
      <c r="J130" s="132"/>
      <c r="K130" s="132"/>
      <c r="L130" s="132"/>
      <c r="M130" s="132"/>
      <c r="N130" s="132"/>
      <c r="O130" s="108">
        <f t="shared" si="23"/>
        <v>29500</v>
      </c>
    </row>
    <row r="131" spans="1:15" s="103" customFormat="1" ht="17.25" customHeight="1">
      <c r="A131" s="104" t="s">
        <v>118</v>
      </c>
      <c r="B131" s="106" t="s">
        <v>18</v>
      </c>
      <c r="C131" s="108">
        <v>149100</v>
      </c>
      <c r="D131" s="108">
        <v>93200</v>
      </c>
      <c r="E131" s="108"/>
      <c r="F131" s="108">
        <v>1690</v>
      </c>
      <c r="G131" s="108">
        <v>1290</v>
      </c>
      <c r="H131" s="108"/>
      <c r="I131" s="108"/>
      <c r="J131" s="108"/>
      <c r="K131" s="108"/>
      <c r="L131" s="108">
        <f>5600+7600</f>
        <v>13200</v>
      </c>
      <c r="M131" s="108"/>
      <c r="N131" s="108"/>
      <c r="O131" s="108">
        <f t="shared" si="23"/>
        <v>163990</v>
      </c>
    </row>
    <row r="132" spans="1:15" s="165" customFormat="1" ht="17.25" customHeight="1">
      <c r="A132" s="149" t="s">
        <v>119</v>
      </c>
      <c r="B132" s="150" t="s">
        <v>17</v>
      </c>
      <c r="C132" s="119">
        <f>507800+6600+2300</f>
        <v>516700</v>
      </c>
      <c r="D132" s="108">
        <f>326000+1400</f>
        <v>327400</v>
      </c>
      <c r="E132" s="108"/>
      <c r="F132" s="108">
        <v>5894</v>
      </c>
      <c r="G132" s="108">
        <v>4500</v>
      </c>
      <c r="H132" s="108"/>
      <c r="I132" s="108"/>
      <c r="J132" s="108"/>
      <c r="K132" s="108"/>
      <c r="L132" s="108">
        <f>1100+900+700</f>
        <v>2700</v>
      </c>
      <c r="M132" s="108"/>
      <c r="N132" s="108"/>
      <c r="O132" s="119">
        <f t="shared" si="23"/>
        <v>525294</v>
      </c>
    </row>
    <row r="133" spans="1:15" s="167" customFormat="1" ht="17.25" customHeight="1">
      <c r="A133" s="149" t="s">
        <v>120</v>
      </c>
      <c r="B133" s="166" t="s">
        <v>19</v>
      </c>
      <c r="C133" s="119">
        <f>481000+1800</f>
        <v>482800</v>
      </c>
      <c r="D133" s="108">
        <v>326000</v>
      </c>
      <c r="E133" s="108"/>
      <c r="F133" s="108">
        <v>5894</v>
      </c>
      <c r="G133" s="108">
        <v>4500</v>
      </c>
      <c r="H133" s="108"/>
      <c r="I133" s="108"/>
      <c r="J133" s="108"/>
      <c r="K133" s="108"/>
      <c r="L133" s="108">
        <f>13500+10500+4000</f>
        <v>28000</v>
      </c>
      <c r="M133" s="108"/>
      <c r="N133" s="108">
        <v>1450</v>
      </c>
      <c r="O133" s="119">
        <f t="shared" si="23"/>
        <v>516694</v>
      </c>
    </row>
    <row r="134" spans="1:15" s="124" customFormat="1" ht="17.25" customHeight="1">
      <c r="A134" s="104" t="s">
        <v>121</v>
      </c>
      <c r="B134" s="106" t="s">
        <v>159</v>
      </c>
      <c r="C134" s="108">
        <v>86900</v>
      </c>
      <c r="D134" s="108">
        <v>56000</v>
      </c>
      <c r="E134" s="108"/>
      <c r="F134" s="108">
        <v>1009</v>
      </c>
      <c r="G134" s="108">
        <v>770</v>
      </c>
      <c r="H134" s="108"/>
      <c r="I134" s="108"/>
      <c r="J134" s="108"/>
      <c r="K134" s="108"/>
      <c r="L134" s="108">
        <f>300+100</f>
        <v>400</v>
      </c>
      <c r="M134" s="108"/>
      <c r="N134" s="108"/>
      <c r="O134" s="108">
        <f t="shared" si="23"/>
        <v>88309</v>
      </c>
    </row>
    <row r="135" spans="1:15" s="124" customFormat="1" ht="17.25" customHeight="1">
      <c r="A135" s="104" t="s">
        <v>163</v>
      </c>
      <c r="B135" s="106" t="s">
        <v>160</v>
      </c>
      <c r="C135" s="108">
        <v>73500</v>
      </c>
      <c r="D135" s="108">
        <v>43800</v>
      </c>
      <c r="E135" s="108"/>
      <c r="F135" s="108">
        <v>786</v>
      </c>
      <c r="G135" s="108">
        <v>600</v>
      </c>
      <c r="H135" s="108"/>
      <c r="I135" s="108"/>
      <c r="J135" s="108"/>
      <c r="K135" s="108"/>
      <c r="L135" s="108">
        <f>230+70</f>
        <v>300</v>
      </c>
      <c r="M135" s="108"/>
      <c r="N135" s="108"/>
      <c r="O135" s="108">
        <f t="shared" si="23"/>
        <v>74586</v>
      </c>
    </row>
    <row r="136" spans="1:15" s="124" customFormat="1" ht="29.25" customHeight="1">
      <c r="A136" s="104" t="s">
        <v>164</v>
      </c>
      <c r="B136" s="106" t="s">
        <v>162</v>
      </c>
      <c r="C136" s="108">
        <v>76100</v>
      </c>
      <c r="D136" s="108">
        <v>46500</v>
      </c>
      <c r="E136" s="108"/>
      <c r="F136" s="108">
        <v>838</v>
      </c>
      <c r="G136" s="108">
        <v>640</v>
      </c>
      <c r="H136" s="108"/>
      <c r="I136" s="108"/>
      <c r="J136" s="108"/>
      <c r="K136" s="108"/>
      <c r="L136" s="108">
        <f>1400+200</f>
        <v>1600</v>
      </c>
      <c r="M136" s="108"/>
      <c r="N136" s="108"/>
      <c r="O136" s="108">
        <f t="shared" si="23"/>
        <v>78538</v>
      </c>
    </row>
    <row r="137" spans="1:15" s="124" customFormat="1" ht="17.25" customHeight="1">
      <c r="A137" s="104" t="s">
        <v>166</v>
      </c>
      <c r="B137" s="106" t="s">
        <v>161</v>
      </c>
      <c r="C137" s="108">
        <v>86300</v>
      </c>
      <c r="D137" s="108">
        <v>56900</v>
      </c>
      <c r="E137" s="108"/>
      <c r="F137" s="108">
        <v>1009</v>
      </c>
      <c r="G137" s="108">
        <v>770</v>
      </c>
      <c r="H137" s="108"/>
      <c r="I137" s="108"/>
      <c r="J137" s="108"/>
      <c r="K137" s="108"/>
      <c r="L137" s="108">
        <f>1600+200+1000</f>
        <v>2800</v>
      </c>
      <c r="M137" s="108"/>
      <c r="N137" s="108"/>
      <c r="O137" s="108">
        <f t="shared" si="23"/>
        <v>90109</v>
      </c>
    </row>
    <row r="138" spans="1:15" s="96" customFormat="1" ht="15" customHeight="1">
      <c r="A138" s="104" t="s">
        <v>167</v>
      </c>
      <c r="B138" s="163" t="s">
        <v>54</v>
      </c>
      <c r="C138" s="108">
        <f>SUM(C139:C141)</f>
        <v>305640</v>
      </c>
      <c r="D138" s="108">
        <f aca="true" t="shared" si="25" ref="D138:N138">SUM(D139:D141)</f>
        <v>186000</v>
      </c>
      <c r="E138" s="108">
        <f t="shared" si="25"/>
        <v>0</v>
      </c>
      <c r="F138" s="108">
        <f t="shared" si="25"/>
        <v>3353</v>
      </c>
      <c r="G138" s="108">
        <f t="shared" si="25"/>
        <v>2560</v>
      </c>
      <c r="H138" s="108">
        <f t="shared" si="25"/>
        <v>0</v>
      </c>
      <c r="I138" s="108">
        <f t="shared" si="25"/>
        <v>0</v>
      </c>
      <c r="J138" s="108"/>
      <c r="K138" s="108">
        <f t="shared" si="25"/>
        <v>0</v>
      </c>
      <c r="L138" s="108">
        <f t="shared" si="25"/>
        <v>8600</v>
      </c>
      <c r="M138" s="108">
        <f t="shared" si="25"/>
        <v>0</v>
      </c>
      <c r="N138" s="108">
        <f t="shared" si="25"/>
        <v>0</v>
      </c>
      <c r="O138" s="108">
        <f>C138+F138+I138+L138</f>
        <v>317593</v>
      </c>
    </row>
    <row r="139" spans="1:15" s="96" customFormat="1" ht="15.75" customHeight="1">
      <c r="A139" s="143" t="s">
        <v>256</v>
      </c>
      <c r="B139" s="114" t="s">
        <v>32</v>
      </c>
      <c r="C139" s="112">
        <f>265800+15840</f>
        <v>281640</v>
      </c>
      <c r="D139" s="112">
        <v>186000</v>
      </c>
      <c r="E139" s="112"/>
      <c r="F139" s="108">
        <v>3353</v>
      </c>
      <c r="G139" s="112">
        <v>2560</v>
      </c>
      <c r="H139" s="112"/>
      <c r="I139" s="108"/>
      <c r="J139" s="108"/>
      <c r="K139" s="112"/>
      <c r="L139" s="122">
        <f>11100-2500</f>
        <v>8600</v>
      </c>
      <c r="M139" s="122"/>
      <c r="N139" s="122"/>
      <c r="O139" s="119">
        <f>C139+F139+I139+L139</f>
        <v>293593</v>
      </c>
    </row>
    <row r="140" spans="1:15" s="96" customFormat="1" ht="44.25" customHeight="1">
      <c r="A140" s="125" t="s">
        <v>257</v>
      </c>
      <c r="B140" s="111" t="s">
        <v>322</v>
      </c>
      <c r="C140" s="158">
        <f>7500+4000</f>
        <v>11500</v>
      </c>
      <c r="D140" s="112"/>
      <c r="E140" s="112"/>
      <c r="F140" s="168"/>
      <c r="G140" s="112"/>
      <c r="H140" s="112"/>
      <c r="I140" s="168"/>
      <c r="J140" s="168"/>
      <c r="K140" s="112"/>
      <c r="L140" s="168"/>
      <c r="M140" s="112"/>
      <c r="N140" s="112"/>
      <c r="O140" s="108">
        <f>C140+F140+I140+L140</f>
        <v>11500</v>
      </c>
    </row>
    <row r="141" spans="1:15" s="96" customFormat="1" ht="16.5" customHeight="1">
      <c r="A141" s="125" t="s">
        <v>258</v>
      </c>
      <c r="B141" s="111" t="s">
        <v>46</v>
      </c>
      <c r="C141" s="158">
        <v>12500</v>
      </c>
      <c r="D141" s="112"/>
      <c r="E141" s="112"/>
      <c r="F141" s="168"/>
      <c r="G141" s="112"/>
      <c r="H141" s="112"/>
      <c r="I141" s="168"/>
      <c r="J141" s="168"/>
      <c r="K141" s="112"/>
      <c r="L141" s="168"/>
      <c r="M141" s="112"/>
      <c r="N141" s="112"/>
      <c r="O141" s="108">
        <f>C141+F141+I141+L141</f>
        <v>12500</v>
      </c>
    </row>
    <row r="142" spans="1:15" s="95" customFormat="1" ht="17.25" customHeight="1">
      <c r="A142" s="130"/>
      <c r="B142" s="206" t="s">
        <v>383</v>
      </c>
      <c r="C142" s="207"/>
      <c r="D142" s="207"/>
      <c r="E142" s="207"/>
      <c r="F142" s="207"/>
      <c r="G142" s="207"/>
      <c r="H142" s="207"/>
      <c r="I142" s="207"/>
      <c r="J142" s="207"/>
      <c r="K142" s="207"/>
      <c r="L142" s="207"/>
      <c r="M142" s="207"/>
      <c r="N142" s="207"/>
      <c r="O142" s="208"/>
    </row>
    <row r="143" spans="1:15" s="128" customFormat="1" ht="16.5" customHeight="1">
      <c r="A143" s="131"/>
      <c r="B143" s="106" t="s">
        <v>41</v>
      </c>
      <c r="C143" s="107">
        <f aca="true" t="shared" si="26" ref="C143:N143">SUM(C144:C146,C149:C152,C155:C156,C159,C162,C165,C168:C169,C175,C172,C178:C180,C181,C189)</f>
        <v>4746800</v>
      </c>
      <c r="D143" s="107">
        <f t="shared" si="26"/>
        <v>2413900</v>
      </c>
      <c r="E143" s="107">
        <f t="shared" si="26"/>
        <v>58800</v>
      </c>
      <c r="F143" s="107">
        <f t="shared" si="26"/>
        <v>408821</v>
      </c>
      <c r="G143" s="107">
        <f t="shared" si="26"/>
        <v>146358</v>
      </c>
      <c r="H143" s="107">
        <f t="shared" si="26"/>
        <v>80000</v>
      </c>
      <c r="I143" s="107">
        <f t="shared" si="26"/>
        <v>5718900</v>
      </c>
      <c r="J143" s="107">
        <f t="shared" si="26"/>
        <v>4225815</v>
      </c>
      <c r="K143" s="107">
        <f t="shared" si="26"/>
        <v>25175</v>
      </c>
      <c r="L143" s="107">
        <f t="shared" si="26"/>
        <v>288065</v>
      </c>
      <c r="M143" s="107">
        <f t="shared" si="26"/>
        <v>12975</v>
      </c>
      <c r="N143" s="107">
        <f t="shared" si="26"/>
        <v>5610</v>
      </c>
      <c r="O143" s="108">
        <f>C143+F143+I143+L143</f>
        <v>11162586</v>
      </c>
    </row>
    <row r="144" spans="1:15" s="159" customFormat="1" ht="30" customHeight="1">
      <c r="A144" s="169" t="s">
        <v>168</v>
      </c>
      <c r="B144" s="150" t="s">
        <v>14</v>
      </c>
      <c r="C144" s="168">
        <v>313400</v>
      </c>
      <c r="D144" s="168">
        <v>132800</v>
      </c>
      <c r="E144" s="168"/>
      <c r="F144" s="168">
        <v>2397</v>
      </c>
      <c r="G144" s="168">
        <v>1830</v>
      </c>
      <c r="H144" s="168"/>
      <c r="I144" s="170">
        <f>798225+13631</f>
        <v>811856</v>
      </c>
      <c r="J144" s="170">
        <f>560000+4692</f>
        <v>564692</v>
      </c>
      <c r="K144" s="168">
        <v>20500</v>
      </c>
      <c r="L144" s="168">
        <f>1400+4700</f>
        <v>6100</v>
      </c>
      <c r="M144" s="168"/>
      <c r="N144" s="168"/>
      <c r="O144" s="119">
        <f aca="true" t="shared" si="27" ref="O144:O193">C144+F144+I144+L144</f>
        <v>1133753</v>
      </c>
    </row>
    <row r="145" spans="1:15" s="171" customFormat="1" ht="20.25" customHeight="1">
      <c r="A145" s="169" t="s">
        <v>169</v>
      </c>
      <c r="B145" s="150" t="s">
        <v>108</v>
      </c>
      <c r="C145" s="170">
        <f>212500+2000</f>
        <v>214500</v>
      </c>
      <c r="D145" s="170">
        <v>102700</v>
      </c>
      <c r="E145" s="157"/>
      <c r="F145" s="168">
        <f>10350+1860</f>
        <v>12210</v>
      </c>
      <c r="G145" s="168">
        <f>7900+1420</f>
        <v>9320</v>
      </c>
      <c r="H145" s="168"/>
      <c r="I145" s="170">
        <f>419160+4474</f>
        <v>423634</v>
      </c>
      <c r="J145" s="170">
        <f>314572+1276</f>
        <v>315848</v>
      </c>
      <c r="K145" s="168">
        <v>450</v>
      </c>
      <c r="L145" s="168"/>
      <c r="M145" s="168"/>
      <c r="N145" s="168"/>
      <c r="O145" s="119">
        <f t="shared" si="27"/>
        <v>650344</v>
      </c>
    </row>
    <row r="146" spans="1:15" s="159" customFormat="1" ht="27.75" customHeight="1">
      <c r="A146" s="169" t="s">
        <v>170</v>
      </c>
      <c r="B146" s="150" t="s">
        <v>393</v>
      </c>
      <c r="C146" s="170">
        <f>C147+C148</f>
        <v>285800</v>
      </c>
      <c r="D146" s="168">
        <f aca="true" t="shared" si="28" ref="D146:L146">D147+D148</f>
        <v>143400</v>
      </c>
      <c r="E146" s="168">
        <f t="shared" si="28"/>
        <v>0</v>
      </c>
      <c r="F146" s="170">
        <f t="shared" si="28"/>
        <v>16819</v>
      </c>
      <c r="G146" s="170">
        <f t="shared" si="28"/>
        <v>11042</v>
      </c>
      <c r="H146" s="168">
        <f t="shared" si="28"/>
        <v>0</v>
      </c>
      <c r="I146" s="170">
        <f t="shared" si="28"/>
        <v>393058</v>
      </c>
      <c r="J146" s="170">
        <f>J147+J148</f>
        <v>293678</v>
      </c>
      <c r="K146" s="168">
        <f t="shared" si="28"/>
        <v>0</v>
      </c>
      <c r="L146" s="168">
        <f t="shared" si="28"/>
        <v>6690</v>
      </c>
      <c r="M146" s="168">
        <f>M147+M148</f>
        <v>0</v>
      </c>
      <c r="N146" s="168">
        <f>N147+N148</f>
        <v>0</v>
      </c>
      <c r="O146" s="119">
        <f t="shared" si="27"/>
        <v>702367</v>
      </c>
    </row>
    <row r="147" spans="1:15" s="159" customFormat="1" ht="15" customHeight="1">
      <c r="A147" s="148" t="s">
        <v>259</v>
      </c>
      <c r="B147" s="111" t="s">
        <v>35</v>
      </c>
      <c r="C147" s="158">
        <v>59800</v>
      </c>
      <c r="D147" s="158">
        <v>40700</v>
      </c>
      <c r="E147" s="158"/>
      <c r="F147" s="158">
        <f>1035+733</f>
        <v>1768</v>
      </c>
      <c r="G147" s="158">
        <f>790+560</f>
        <v>1350</v>
      </c>
      <c r="H147" s="158"/>
      <c r="I147" s="158">
        <v>21932</v>
      </c>
      <c r="J147" s="158">
        <v>16344</v>
      </c>
      <c r="K147" s="158"/>
      <c r="L147" s="158">
        <v>6690</v>
      </c>
      <c r="M147" s="158"/>
      <c r="N147" s="158"/>
      <c r="O147" s="108">
        <f t="shared" si="27"/>
        <v>90190</v>
      </c>
    </row>
    <row r="148" spans="1:15" s="171" customFormat="1" ht="15" customHeight="1">
      <c r="A148" s="160" t="s">
        <v>260</v>
      </c>
      <c r="B148" s="114" t="s">
        <v>34</v>
      </c>
      <c r="C148" s="161">
        <f>224000+2000</f>
        <v>226000</v>
      </c>
      <c r="D148" s="158">
        <v>102700</v>
      </c>
      <c r="E148" s="158"/>
      <c r="F148" s="161">
        <f>11660+3391</f>
        <v>15051</v>
      </c>
      <c r="G148" s="161">
        <f>8900+792</f>
        <v>9692</v>
      </c>
      <c r="H148" s="158"/>
      <c r="I148" s="161">
        <f>366996+4130</f>
        <v>371126</v>
      </c>
      <c r="J148" s="161">
        <f>275912+1422</f>
        <v>277334</v>
      </c>
      <c r="K148" s="158"/>
      <c r="L148" s="158"/>
      <c r="M148" s="158"/>
      <c r="N148" s="158"/>
      <c r="O148" s="119">
        <f t="shared" si="27"/>
        <v>612177</v>
      </c>
    </row>
    <row r="149" spans="1:15" s="171" customFormat="1" ht="18.75" customHeight="1">
      <c r="A149" s="169" t="s">
        <v>171</v>
      </c>
      <c r="B149" s="150" t="s">
        <v>206</v>
      </c>
      <c r="C149" s="170">
        <f>306100+3700</f>
        <v>309800</v>
      </c>
      <c r="D149" s="170">
        <f>155100+2900</f>
        <v>158000</v>
      </c>
      <c r="E149" s="170"/>
      <c r="F149" s="168">
        <f>18180+2803</f>
        <v>20983</v>
      </c>
      <c r="G149" s="168">
        <f>13880+2140</f>
        <v>16020</v>
      </c>
      <c r="H149" s="168"/>
      <c r="I149" s="170">
        <f>694471+10529</f>
        <v>705000</v>
      </c>
      <c r="J149" s="170">
        <f>518718+4327</f>
        <v>523045</v>
      </c>
      <c r="K149" s="170">
        <v>725</v>
      </c>
      <c r="L149" s="168">
        <v>1230</v>
      </c>
      <c r="M149" s="170"/>
      <c r="N149" s="170"/>
      <c r="O149" s="119">
        <f>C149+F149+I149+L149</f>
        <v>1037013</v>
      </c>
    </row>
    <row r="150" spans="1:15" s="159" customFormat="1" ht="18.75" customHeight="1">
      <c r="A150" s="169" t="s">
        <v>172</v>
      </c>
      <c r="B150" s="150" t="s">
        <v>207</v>
      </c>
      <c r="C150" s="168">
        <v>277600</v>
      </c>
      <c r="D150" s="168">
        <v>148600</v>
      </c>
      <c r="E150" s="168"/>
      <c r="F150" s="168">
        <f>16740+2685</f>
        <v>19425</v>
      </c>
      <c r="G150" s="168">
        <f>12780+2050</f>
        <v>14830</v>
      </c>
      <c r="H150" s="168"/>
      <c r="I150" s="170">
        <f>588400+9370</f>
        <v>597770</v>
      </c>
      <c r="J150" s="170">
        <f>439992+4026</f>
        <v>444018</v>
      </c>
      <c r="K150" s="168"/>
      <c r="L150" s="168">
        <f>4000+500</f>
        <v>4500</v>
      </c>
      <c r="M150" s="168"/>
      <c r="N150" s="168"/>
      <c r="O150" s="119">
        <f>C150+F150+I150+L150</f>
        <v>899295</v>
      </c>
    </row>
    <row r="151" spans="1:15" s="159" customFormat="1" ht="18" customHeight="1">
      <c r="A151" s="169" t="s">
        <v>173</v>
      </c>
      <c r="B151" s="150" t="s">
        <v>20</v>
      </c>
      <c r="C151" s="168">
        <v>90700</v>
      </c>
      <c r="D151" s="168">
        <v>49800</v>
      </c>
      <c r="E151" s="168"/>
      <c r="F151" s="168">
        <f>4640+904</f>
        <v>5544</v>
      </c>
      <c r="G151" s="168">
        <f>3540+690</f>
        <v>4230</v>
      </c>
      <c r="H151" s="168"/>
      <c r="I151" s="170">
        <f>164824+640</f>
        <v>165464</v>
      </c>
      <c r="J151" s="168">
        <v>123832</v>
      </c>
      <c r="K151" s="168"/>
      <c r="L151" s="168"/>
      <c r="M151" s="168"/>
      <c r="N151" s="168"/>
      <c r="O151" s="119">
        <f t="shared" si="27"/>
        <v>261708</v>
      </c>
    </row>
    <row r="152" spans="1:15" s="159" customFormat="1" ht="27.75" customHeight="1">
      <c r="A152" s="169" t="s">
        <v>174</v>
      </c>
      <c r="B152" s="150" t="s">
        <v>36</v>
      </c>
      <c r="C152" s="168">
        <f>C153+C154</f>
        <v>182000</v>
      </c>
      <c r="D152" s="168">
        <f aca="true" t="shared" si="29" ref="D152:N152">D153+D154</f>
        <v>106900</v>
      </c>
      <c r="E152" s="168">
        <f t="shared" si="29"/>
        <v>0</v>
      </c>
      <c r="F152" s="168">
        <f t="shared" si="29"/>
        <v>8176</v>
      </c>
      <c r="G152" s="168">
        <f t="shared" si="29"/>
        <v>6240</v>
      </c>
      <c r="H152" s="168">
        <f t="shared" si="29"/>
        <v>0</v>
      </c>
      <c r="I152" s="170">
        <f t="shared" si="29"/>
        <v>230390</v>
      </c>
      <c r="J152" s="170">
        <f>J153+J154</f>
        <v>172483</v>
      </c>
      <c r="K152" s="168">
        <f t="shared" si="29"/>
        <v>0</v>
      </c>
      <c r="L152" s="168">
        <f t="shared" si="29"/>
        <v>2480</v>
      </c>
      <c r="M152" s="168">
        <f t="shared" si="29"/>
        <v>0</v>
      </c>
      <c r="N152" s="168">
        <f t="shared" si="29"/>
        <v>0</v>
      </c>
      <c r="O152" s="119">
        <f t="shared" si="27"/>
        <v>423046</v>
      </c>
    </row>
    <row r="153" spans="1:15" s="159" customFormat="1" ht="15" customHeight="1">
      <c r="A153" s="172" t="s">
        <v>323</v>
      </c>
      <c r="B153" s="111" t="s">
        <v>35</v>
      </c>
      <c r="C153" s="158">
        <v>36600</v>
      </c>
      <c r="D153" s="158">
        <v>26800</v>
      </c>
      <c r="E153" s="158"/>
      <c r="F153" s="158">
        <f>940+485</f>
        <v>1425</v>
      </c>
      <c r="G153" s="158">
        <f>720+370</f>
        <v>1090</v>
      </c>
      <c r="H153" s="158"/>
      <c r="I153" s="158">
        <v>33520</v>
      </c>
      <c r="J153" s="158">
        <v>25095</v>
      </c>
      <c r="K153" s="158"/>
      <c r="L153" s="158">
        <v>1880</v>
      </c>
      <c r="M153" s="158"/>
      <c r="N153" s="158"/>
      <c r="O153" s="108">
        <f t="shared" si="27"/>
        <v>73425</v>
      </c>
    </row>
    <row r="154" spans="1:15" s="159" customFormat="1" ht="15" customHeight="1">
      <c r="A154" s="160" t="s">
        <v>324</v>
      </c>
      <c r="B154" s="114" t="s">
        <v>34</v>
      </c>
      <c r="C154" s="158">
        <v>145400</v>
      </c>
      <c r="D154" s="158">
        <v>80100</v>
      </c>
      <c r="E154" s="158"/>
      <c r="F154" s="158">
        <f>5310+1441</f>
        <v>6751</v>
      </c>
      <c r="G154" s="158">
        <f>4050+1100</f>
        <v>5150</v>
      </c>
      <c r="H154" s="158"/>
      <c r="I154" s="161">
        <f>189308+7562</f>
        <v>196870</v>
      </c>
      <c r="J154" s="161">
        <f>142277+5111</f>
        <v>147388</v>
      </c>
      <c r="K154" s="158"/>
      <c r="L154" s="158">
        <f>200+200+200</f>
        <v>600</v>
      </c>
      <c r="M154" s="158"/>
      <c r="N154" s="158"/>
      <c r="O154" s="119">
        <f t="shared" si="27"/>
        <v>349621</v>
      </c>
    </row>
    <row r="155" spans="1:15" s="159" customFormat="1" ht="20.25" customHeight="1">
      <c r="A155" s="169" t="s">
        <v>175</v>
      </c>
      <c r="B155" s="150" t="s">
        <v>21</v>
      </c>
      <c r="C155" s="168">
        <v>136600</v>
      </c>
      <c r="D155" s="168">
        <v>88800</v>
      </c>
      <c r="E155" s="168"/>
      <c r="F155" s="168">
        <f>4680+1598</f>
        <v>6278</v>
      </c>
      <c r="G155" s="168">
        <f>3570+1220</f>
        <v>4790</v>
      </c>
      <c r="H155" s="168"/>
      <c r="I155" s="170">
        <f>160072+12165</f>
        <v>172237</v>
      </c>
      <c r="J155" s="170">
        <f>120336+8978</f>
        <v>129314</v>
      </c>
      <c r="K155" s="168"/>
      <c r="L155" s="168">
        <v>8760</v>
      </c>
      <c r="M155" s="168">
        <v>475</v>
      </c>
      <c r="N155" s="168"/>
      <c r="O155" s="119">
        <f t="shared" si="27"/>
        <v>323875</v>
      </c>
    </row>
    <row r="156" spans="1:15" s="159" customFormat="1" ht="29.25" customHeight="1">
      <c r="A156" s="169" t="s">
        <v>176</v>
      </c>
      <c r="B156" s="150" t="s">
        <v>288</v>
      </c>
      <c r="C156" s="168">
        <f>C157+C158</f>
        <v>169300</v>
      </c>
      <c r="D156" s="168">
        <f>D157+D158</f>
        <v>101000</v>
      </c>
      <c r="E156" s="170">
        <f aca="true" t="shared" si="30" ref="E156:N156">E157+E158</f>
        <v>800</v>
      </c>
      <c r="F156" s="168">
        <f t="shared" si="30"/>
        <v>8328</v>
      </c>
      <c r="G156" s="168">
        <f t="shared" si="30"/>
        <v>6360</v>
      </c>
      <c r="H156" s="168">
        <f t="shared" si="30"/>
        <v>0</v>
      </c>
      <c r="I156" s="170">
        <f t="shared" si="30"/>
        <v>224500</v>
      </c>
      <c r="J156" s="170">
        <f>J157+J158</f>
        <v>168015</v>
      </c>
      <c r="K156" s="168">
        <f t="shared" si="30"/>
        <v>0</v>
      </c>
      <c r="L156" s="168">
        <f t="shared" si="30"/>
        <v>5110</v>
      </c>
      <c r="M156" s="168">
        <f t="shared" si="30"/>
        <v>0</v>
      </c>
      <c r="N156" s="168">
        <f t="shared" si="30"/>
        <v>0</v>
      </c>
      <c r="O156" s="119">
        <f>C156+F156+I156+L156</f>
        <v>407238</v>
      </c>
    </row>
    <row r="157" spans="1:15" s="159" customFormat="1" ht="15" customHeight="1">
      <c r="A157" s="173" t="s">
        <v>261</v>
      </c>
      <c r="B157" s="111" t="s">
        <v>35</v>
      </c>
      <c r="C157" s="158">
        <v>27900</v>
      </c>
      <c r="D157" s="158">
        <v>20200</v>
      </c>
      <c r="E157" s="158"/>
      <c r="F157" s="158">
        <f>550+367</f>
        <v>917</v>
      </c>
      <c r="G157" s="158">
        <f>420+280</f>
        <v>700</v>
      </c>
      <c r="H157" s="158"/>
      <c r="I157" s="158">
        <v>10502</v>
      </c>
      <c r="J157" s="158">
        <v>7640</v>
      </c>
      <c r="K157" s="158"/>
      <c r="L157" s="158">
        <v>5010</v>
      </c>
      <c r="M157" s="158"/>
      <c r="N157" s="158"/>
      <c r="O157" s="108">
        <f>C157+F157+I157+L157</f>
        <v>44329</v>
      </c>
    </row>
    <row r="158" spans="1:15" s="159" customFormat="1" ht="15" customHeight="1">
      <c r="A158" s="160" t="s">
        <v>262</v>
      </c>
      <c r="B158" s="114" t="s">
        <v>34</v>
      </c>
      <c r="C158" s="158">
        <v>141400</v>
      </c>
      <c r="D158" s="158">
        <v>80800</v>
      </c>
      <c r="E158" s="161">
        <v>800</v>
      </c>
      <c r="F158" s="158">
        <f>5970+1441</f>
        <v>7411</v>
      </c>
      <c r="G158" s="158">
        <f>4560+1100</f>
        <v>5660</v>
      </c>
      <c r="H158" s="158"/>
      <c r="I158" s="161">
        <f>212844+1154</f>
        <v>213998</v>
      </c>
      <c r="J158" s="161">
        <f>160226+149</f>
        <v>160375</v>
      </c>
      <c r="K158" s="158"/>
      <c r="L158" s="158">
        <v>100</v>
      </c>
      <c r="M158" s="158"/>
      <c r="N158" s="158"/>
      <c r="O158" s="119">
        <f>C158+F158+I158+L158</f>
        <v>362909</v>
      </c>
    </row>
    <row r="159" spans="1:15" s="159" customFormat="1" ht="29.25" customHeight="1">
      <c r="A159" s="169" t="s">
        <v>177</v>
      </c>
      <c r="B159" s="150" t="s">
        <v>37</v>
      </c>
      <c r="C159" s="168">
        <f>C160+C161</f>
        <v>166400</v>
      </c>
      <c r="D159" s="168">
        <f>D160+D161</f>
        <v>95000</v>
      </c>
      <c r="E159" s="168">
        <f aca="true" t="shared" si="31" ref="E159:N159">E160+E161</f>
        <v>0</v>
      </c>
      <c r="F159" s="168">
        <f t="shared" si="31"/>
        <v>9166</v>
      </c>
      <c r="G159" s="168">
        <f t="shared" si="31"/>
        <v>7000</v>
      </c>
      <c r="H159" s="168">
        <f t="shared" si="31"/>
        <v>0</v>
      </c>
      <c r="I159" s="170">
        <f t="shared" si="31"/>
        <v>260630</v>
      </c>
      <c r="J159" s="170">
        <f>J160+J161</f>
        <v>194408</v>
      </c>
      <c r="K159" s="168">
        <f t="shared" si="31"/>
        <v>0</v>
      </c>
      <c r="L159" s="168">
        <f t="shared" si="31"/>
        <v>2320</v>
      </c>
      <c r="M159" s="168">
        <f t="shared" si="31"/>
        <v>0</v>
      </c>
      <c r="N159" s="168">
        <f t="shared" si="31"/>
        <v>0</v>
      </c>
      <c r="O159" s="119">
        <f t="shared" si="27"/>
        <v>438516</v>
      </c>
    </row>
    <row r="160" spans="1:15" s="159" customFormat="1" ht="15" customHeight="1">
      <c r="A160" s="173" t="s">
        <v>313</v>
      </c>
      <c r="B160" s="111" t="s">
        <v>35</v>
      </c>
      <c r="C160" s="158">
        <v>32200</v>
      </c>
      <c r="D160" s="158">
        <v>22800</v>
      </c>
      <c r="E160" s="158"/>
      <c r="F160" s="158">
        <f>930+406</f>
        <v>1336</v>
      </c>
      <c r="G160" s="158">
        <f>710+310</f>
        <v>1020</v>
      </c>
      <c r="H160" s="158"/>
      <c r="I160" s="158">
        <v>35607</v>
      </c>
      <c r="J160" s="158">
        <v>26640</v>
      </c>
      <c r="K160" s="158"/>
      <c r="L160" s="158">
        <v>2220</v>
      </c>
      <c r="M160" s="158"/>
      <c r="N160" s="158"/>
      <c r="O160" s="108">
        <f t="shared" si="27"/>
        <v>71363</v>
      </c>
    </row>
    <row r="161" spans="1:15" s="159" customFormat="1" ht="15" customHeight="1">
      <c r="A161" s="160" t="s">
        <v>314</v>
      </c>
      <c r="B161" s="114" t="s">
        <v>34</v>
      </c>
      <c r="C161" s="158">
        <v>134200</v>
      </c>
      <c r="D161" s="158">
        <v>72200</v>
      </c>
      <c r="E161" s="158"/>
      <c r="F161" s="158">
        <f>6520+1310</f>
        <v>7830</v>
      </c>
      <c r="G161" s="158">
        <f>4980+1000</f>
        <v>5980</v>
      </c>
      <c r="H161" s="158"/>
      <c r="I161" s="161">
        <f>220742+4281</f>
        <v>225023</v>
      </c>
      <c r="J161" s="161">
        <f>165616+2152</f>
        <v>167768</v>
      </c>
      <c r="K161" s="158"/>
      <c r="L161" s="158">
        <v>100</v>
      </c>
      <c r="M161" s="158"/>
      <c r="N161" s="158"/>
      <c r="O161" s="119">
        <f t="shared" si="27"/>
        <v>367153</v>
      </c>
    </row>
    <row r="162" spans="1:15" s="159" customFormat="1" ht="30.75" customHeight="1">
      <c r="A162" s="169" t="s">
        <v>178</v>
      </c>
      <c r="B162" s="150" t="s">
        <v>38</v>
      </c>
      <c r="C162" s="168">
        <f>C163+C164</f>
        <v>192200</v>
      </c>
      <c r="D162" s="168">
        <f aca="true" t="shared" si="32" ref="D162:L162">D163+D164</f>
        <v>119000</v>
      </c>
      <c r="E162" s="168">
        <f t="shared" si="32"/>
        <v>0</v>
      </c>
      <c r="F162" s="168">
        <f t="shared" si="32"/>
        <v>10202</v>
      </c>
      <c r="G162" s="168">
        <f t="shared" si="32"/>
        <v>7790</v>
      </c>
      <c r="H162" s="168">
        <f t="shared" si="32"/>
        <v>0</v>
      </c>
      <c r="I162" s="170">
        <f t="shared" si="32"/>
        <v>263762</v>
      </c>
      <c r="J162" s="170">
        <f>J163+J164</f>
        <v>197390</v>
      </c>
      <c r="K162" s="168">
        <f t="shared" si="32"/>
        <v>0</v>
      </c>
      <c r="L162" s="168">
        <f t="shared" si="32"/>
        <v>6180</v>
      </c>
      <c r="M162" s="168">
        <f>M163+M164</f>
        <v>0</v>
      </c>
      <c r="N162" s="168">
        <f>N163+N164</f>
        <v>0</v>
      </c>
      <c r="O162" s="119">
        <f t="shared" si="27"/>
        <v>472344</v>
      </c>
    </row>
    <row r="163" spans="1:15" s="159" customFormat="1" ht="15" customHeight="1">
      <c r="A163" s="173" t="s">
        <v>105</v>
      </c>
      <c r="B163" s="111" t="s">
        <v>35</v>
      </c>
      <c r="C163" s="158">
        <v>68000</v>
      </c>
      <c r="D163" s="158">
        <v>49000</v>
      </c>
      <c r="E163" s="158"/>
      <c r="F163" s="158">
        <f>1620+891</f>
        <v>2511</v>
      </c>
      <c r="G163" s="158">
        <f>1240+680</f>
        <v>1920</v>
      </c>
      <c r="H163" s="158"/>
      <c r="I163" s="158">
        <v>16416</v>
      </c>
      <c r="J163" s="158">
        <v>12396</v>
      </c>
      <c r="K163" s="158"/>
      <c r="L163" s="158">
        <v>3620</v>
      </c>
      <c r="M163" s="158"/>
      <c r="N163" s="158"/>
      <c r="O163" s="108">
        <f t="shared" si="27"/>
        <v>90547</v>
      </c>
    </row>
    <row r="164" spans="1:15" s="159" customFormat="1" ht="15" customHeight="1">
      <c r="A164" s="160" t="s">
        <v>106</v>
      </c>
      <c r="B164" s="114" t="s">
        <v>34</v>
      </c>
      <c r="C164" s="158">
        <v>124200</v>
      </c>
      <c r="D164" s="158">
        <v>70000</v>
      </c>
      <c r="E164" s="158"/>
      <c r="F164" s="158">
        <f>6420+1271</f>
        <v>7691</v>
      </c>
      <c r="G164" s="158">
        <f>4900+970</f>
        <v>5870</v>
      </c>
      <c r="H164" s="158"/>
      <c r="I164" s="161">
        <f>246220+1126</f>
        <v>247346</v>
      </c>
      <c r="J164" s="161">
        <f>184884+110</f>
        <v>184994</v>
      </c>
      <c r="K164" s="158"/>
      <c r="L164" s="161">
        <f>2450+110</f>
        <v>2560</v>
      </c>
      <c r="M164" s="161"/>
      <c r="N164" s="161"/>
      <c r="O164" s="119">
        <f t="shared" si="27"/>
        <v>381797</v>
      </c>
    </row>
    <row r="165" spans="1:15" s="159" customFormat="1" ht="29.25" customHeight="1">
      <c r="A165" s="169" t="s">
        <v>179</v>
      </c>
      <c r="B165" s="150" t="s">
        <v>53</v>
      </c>
      <c r="C165" s="168">
        <f>C166+C167</f>
        <v>183200</v>
      </c>
      <c r="D165" s="168">
        <f aca="true" t="shared" si="33" ref="D165:L165">D166+D167</f>
        <v>100600</v>
      </c>
      <c r="E165" s="168">
        <f t="shared" si="33"/>
        <v>0</v>
      </c>
      <c r="F165" s="168">
        <f t="shared" si="33"/>
        <v>11821</v>
      </c>
      <c r="G165" s="168">
        <f t="shared" si="33"/>
        <v>7771</v>
      </c>
      <c r="H165" s="168">
        <f t="shared" si="33"/>
        <v>0</v>
      </c>
      <c r="I165" s="170">
        <f t="shared" si="33"/>
        <v>255758</v>
      </c>
      <c r="J165" s="170">
        <f>J166+J167</f>
        <v>191094</v>
      </c>
      <c r="K165" s="168">
        <f t="shared" si="33"/>
        <v>0</v>
      </c>
      <c r="L165" s="168">
        <f t="shared" si="33"/>
        <v>6040</v>
      </c>
      <c r="M165" s="168">
        <f>M166+M167</f>
        <v>0</v>
      </c>
      <c r="N165" s="168">
        <f>N166+N167</f>
        <v>0</v>
      </c>
      <c r="O165" s="119">
        <f t="shared" si="27"/>
        <v>456819</v>
      </c>
    </row>
    <row r="166" spans="1:15" s="159" customFormat="1" ht="15" customHeight="1">
      <c r="A166" s="148" t="s">
        <v>110</v>
      </c>
      <c r="B166" s="111" t="s">
        <v>35</v>
      </c>
      <c r="C166" s="158">
        <v>61400</v>
      </c>
      <c r="D166" s="158">
        <v>35000</v>
      </c>
      <c r="E166" s="158"/>
      <c r="F166" s="158">
        <f>890+629</f>
        <v>1519</v>
      </c>
      <c r="G166" s="158">
        <f>680+480</f>
        <v>1160</v>
      </c>
      <c r="H166" s="158"/>
      <c r="I166" s="158">
        <v>34025</v>
      </c>
      <c r="J166" s="158">
        <v>25465</v>
      </c>
      <c r="K166" s="158"/>
      <c r="L166" s="158">
        <v>6040</v>
      </c>
      <c r="M166" s="158"/>
      <c r="N166" s="158"/>
      <c r="O166" s="108">
        <f t="shared" si="27"/>
        <v>102984</v>
      </c>
    </row>
    <row r="167" spans="1:15" s="159" customFormat="1" ht="15" customHeight="1">
      <c r="A167" s="160" t="s">
        <v>111</v>
      </c>
      <c r="B167" s="114" t="s">
        <v>34</v>
      </c>
      <c r="C167" s="158">
        <v>121800</v>
      </c>
      <c r="D167" s="158">
        <v>65600</v>
      </c>
      <c r="E167" s="158"/>
      <c r="F167" s="161">
        <f>7942+2360</f>
        <v>10302</v>
      </c>
      <c r="G167" s="161">
        <f>6060+551</f>
        <v>6611</v>
      </c>
      <c r="H167" s="158"/>
      <c r="I167" s="161">
        <f>218048+3685</f>
        <v>221733</v>
      </c>
      <c r="J167" s="161">
        <f>163744+1885</f>
        <v>165629</v>
      </c>
      <c r="K167" s="158"/>
      <c r="L167" s="158"/>
      <c r="M167" s="158"/>
      <c r="N167" s="158"/>
      <c r="O167" s="119">
        <f t="shared" si="27"/>
        <v>353835</v>
      </c>
    </row>
    <row r="168" spans="1:15" s="159" customFormat="1" ht="20.25" customHeight="1">
      <c r="A168" s="169" t="s">
        <v>180</v>
      </c>
      <c r="B168" s="150" t="s">
        <v>22</v>
      </c>
      <c r="C168" s="168">
        <v>88700</v>
      </c>
      <c r="D168" s="168">
        <v>54200</v>
      </c>
      <c r="E168" s="168"/>
      <c r="F168" s="168">
        <f>4070+982</f>
        <v>5052</v>
      </c>
      <c r="G168" s="168">
        <f>3110+750</f>
        <v>3860</v>
      </c>
      <c r="H168" s="168"/>
      <c r="I168" s="170">
        <f>166240+24169</f>
        <v>190409</v>
      </c>
      <c r="J168" s="170">
        <f>124973+18242</f>
        <v>143215</v>
      </c>
      <c r="K168" s="168"/>
      <c r="L168" s="168"/>
      <c r="M168" s="168"/>
      <c r="N168" s="168"/>
      <c r="O168" s="119">
        <f t="shared" si="27"/>
        <v>284161</v>
      </c>
    </row>
    <row r="169" spans="1:15" s="159" customFormat="1" ht="29.25" customHeight="1">
      <c r="A169" s="169" t="s">
        <v>181</v>
      </c>
      <c r="B169" s="150" t="s">
        <v>39</v>
      </c>
      <c r="C169" s="168">
        <f>C170+C171</f>
        <v>210200</v>
      </c>
      <c r="D169" s="168">
        <f aca="true" t="shared" si="34" ref="D169:N169">D170+D171</f>
        <v>124600</v>
      </c>
      <c r="E169" s="168">
        <f t="shared" si="34"/>
        <v>0</v>
      </c>
      <c r="F169" s="168">
        <f t="shared" si="34"/>
        <v>9723</v>
      </c>
      <c r="G169" s="168">
        <f t="shared" si="34"/>
        <v>7420</v>
      </c>
      <c r="H169" s="168">
        <f t="shared" si="34"/>
        <v>0</v>
      </c>
      <c r="I169" s="170">
        <f t="shared" si="34"/>
        <v>247002</v>
      </c>
      <c r="J169" s="170">
        <f>J170+J171</f>
        <v>184741</v>
      </c>
      <c r="K169" s="168">
        <f t="shared" si="34"/>
        <v>0</v>
      </c>
      <c r="L169" s="168">
        <f t="shared" si="34"/>
        <v>10560</v>
      </c>
      <c r="M169" s="168">
        <f t="shared" si="34"/>
        <v>0</v>
      </c>
      <c r="N169" s="168">
        <f t="shared" si="34"/>
        <v>0</v>
      </c>
      <c r="O169" s="119">
        <f t="shared" si="27"/>
        <v>477485</v>
      </c>
    </row>
    <row r="170" spans="1:15" s="159" customFormat="1" ht="15" customHeight="1">
      <c r="A170" s="148" t="s">
        <v>263</v>
      </c>
      <c r="B170" s="111" t="s">
        <v>35</v>
      </c>
      <c r="C170" s="158">
        <v>84000</v>
      </c>
      <c r="D170" s="158">
        <v>51900</v>
      </c>
      <c r="E170" s="158"/>
      <c r="F170" s="158">
        <f>1510+943</f>
        <v>2453</v>
      </c>
      <c r="G170" s="158">
        <f>1150+720</f>
        <v>1870</v>
      </c>
      <c r="H170" s="158"/>
      <c r="I170" s="158">
        <v>18721</v>
      </c>
      <c r="J170" s="158">
        <v>13802</v>
      </c>
      <c r="K170" s="158"/>
      <c r="L170" s="158">
        <v>10560</v>
      </c>
      <c r="M170" s="158"/>
      <c r="N170" s="158"/>
      <c r="O170" s="108">
        <f t="shared" si="27"/>
        <v>115734</v>
      </c>
    </row>
    <row r="171" spans="1:15" s="159" customFormat="1" ht="15" customHeight="1">
      <c r="A171" s="160" t="s">
        <v>264</v>
      </c>
      <c r="B171" s="114" t="s">
        <v>34</v>
      </c>
      <c r="C171" s="158">
        <v>126200</v>
      </c>
      <c r="D171" s="158">
        <v>72700</v>
      </c>
      <c r="E171" s="158"/>
      <c r="F171" s="158">
        <f>5960+1310</f>
        <v>7270</v>
      </c>
      <c r="G171" s="158">
        <f>4550+1000</f>
        <v>5550</v>
      </c>
      <c r="H171" s="158"/>
      <c r="I171" s="161">
        <f>221374+6907</f>
        <v>228281</v>
      </c>
      <c r="J171" s="161">
        <f>166347+4592</f>
        <v>170939</v>
      </c>
      <c r="K171" s="158"/>
      <c r="L171" s="158"/>
      <c r="M171" s="158"/>
      <c r="N171" s="158"/>
      <c r="O171" s="119">
        <f t="shared" si="27"/>
        <v>361751</v>
      </c>
    </row>
    <row r="172" spans="1:15" s="159" customFormat="1" ht="17.25" customHeight="1">
      <c r="A172" s="169" t="s">
        <v>182</v>
      </c>
      <c r="B172" s="150" t="s">
        <v>208</v>
      </c>
      <c r="C172" s="168">
        <f>C173+C174</f>
        <v>337600</v>
      </c>
      <c r="D172" s="168">
        <f aca="true" t="shared" si="35" ref="D172:N172">D173+D174</f>
        <v>228000</v>
      </c>
      <c r="E172" s="168">
        <f t="shared" si="35"/>
        <v>0</v>
      </c>
      <c r="F172" s="168">
        <f t="shared" si="35"/>
        <v>27603</v>
      </c>
      <c r="G172" s="168">
        <f t="shared" si="35"/>
        <v>10390</v>
      </c>
      <c r="H172" s="168">
        <f t="shared" si="35"/>
        <v>0</v>
      </c>
      <c r="I172" s="170">
        <f t="shared" si="35"/>
        <v>223245</v>
      </c>
      <c r="J172" s="168">
        <f>J173+J174</f>
        <v>166598</v>
      </c>
      <c r="K172" s="168">
        <f t="shared" si="35"/>
        <v>0</v>
      </c>
      <c r="L172" s="168">
        <f t="shared" si="35"/>
        <v>56600</v>
      </c>
      <c r="M172" s="168">
        <f t="shared" si="35"/>
        <v>0</v>
      </c>
      <c r="N172" s="168">
        <f t="shared" si="35"/>
        <v>2210</v>
      </c>
      <c r="O172" s="119">
        <f>C172+F172+I172+L172</f>
        <v>645048</v>
      </c>
    </row>
    <row r="173" spans="1:15" s="159" customFormat="1" ht="15" customHeight="1">
      <c r="A173" s="148" t="s">
        <v>209</v>
      </c>
      <c r="B173" s="111" t="s">
        <v>35</v>
      </c>
      <c r="C173" s="158">
        <f>321700-1000</f>
        <v>320700</v>
      </c>
      <c r="D173" s="158">
        <v>215100</v>
      </c>
      <c r="E173" s="158"/>
      <c r="F173" s="158">
        <f>14000+7490+3877+300</f>
        <v>25667</v>
      </c>
      <c r="G173" s="158">
        <f>5720+2960+230</f>
        <v>8910</v>
      </c>
      <c r="H173" s="158"/>
      <c r="I173" s="158">
        <v>140946</v>
      </c>
      <c r="J173" s="158">
        <v>104182</v>
      </c>
      <c r="K173" s="158"/>
      <c r="L173" s="158">
        <f>200+350+56050</f>
        <v>56600</v>
      </c>
      <c r="M173" s="158"/>
      <c r="N173" s="158">
        <v>2210</v>
      </c>
      <c r="O173" s="108">
        <f>C173+F173+I173+L173</f>
        <v>543913</v>
      </c>
    </row>
    <row r="174" spans="1:15" s="159" customFormat="1" ht="15" customHeight="1">
      <c r="A174" s="160" t="s">
        <v>210</v>
      </c>
      <c r="B174" s="114" t="s">
        <v>34</v>
      </c>
      <c r="C174" s="158">
        <v>16900</v>
      </c>
      <c r="D174" s="158">
        <v>12900</v>
      </c>
      <c r="E174" s="158"/>
      <c r="F174" s="158">
        <f>1700+236</f>
        <v>1936</v>
      </c>
      <c r="G174" s="158">
        <f>1300+180</f>
        <v>1480</v>
      </c>
      <c r="H174" s="158"/>
      <c r="I174" s="161">
        <f>82151+148</f>
        <v>82299</v>
      </c>
      <c r="J174" s="158">
        <v>62416</v>
      </c>
      <c r="K174" s="158"/>
      <c r="L174" s="158"/>
      <c r="M174" s="158"/>
      <c r="N174" s="158"/>
      <c r="O174" s="119">
        <f>C174+F174+I174+L174</f>
        <v>101135</v>
      </c>
    </row>
    <row r="175" spans="1:15" s="159" customFormat="1" ht="20.25" customHeight="1">
      <c r="A175" s="169" t="s">
        <v>183</v>
      </c>
      <c r="B175" s="174" t="s">
        <v>40</v>
      </c>
      <c r="C175" s="168">
        <f>C176+C177</f>
        <v>258100</v>
      </c>
      <c r="D175" s="168">
        <f aca="true" t="shared" si="36" ref="D175:K175">D176+D177</f>
        <v>171500</v>
      </c>
      <c r="E175" s="168">
        <f t="shared" si="36"/>
        <v>0</v>
      </c>
      <c r="F175" s="168">
        <f t="shared" si="36"/>
        <v>9984</v>
      </c>
      <c r="G175" s="168">
        <f t="shared" si="36"/>
        <v>7630</v>
      </c>
      <c r="H175" s="168">
        <f t="shared" si="36"/>
        <v>0</v>
      </c>
      <c r="I175" s="170">
        <f t="shared" si="36"/>
        <v>196236</v>
      </c>
      <c r="J175" s="170">
        <f>J176+J177</f>
        <v>146719</v>
      </c>
      <c r="K175" s="168">
        <f t="shared" si="36"/>
        <v>0</v>
      </c>
      <c r="L175" s="168">
        <f>L176+L177</f>
        <v>33045</v>
      </c>
      <c r="M175" s="168">
        <f>M176+M177</f>
        <v>0</v>
      </c>
      <c r="N175" s="168">
        <f>N176+N177</f>
        <v>3400</v>
      </c>
      <c r="O175" s="119">
        <f t="shared" si="27"/>
        <v>497365</v>
      </c>
    </row>
    <row r="176" spans="1:15" s="159" customFormat="1" ht="15" customHeight="1">
      <c r="A176" s="148" t="s">
        <v>219</v>
      </c>
      <c r="B176" s="111" t="s">
        <v>35</v>
      </c>
      <c r="C176" s="158">
        <v>207900</v>
      </c>
      <c r="D176" s="158">
        <v>140500</v>
      </c>
      <c r="E176" s="158"/>
      <c r="F176" s="158">
        <f>3520+2541</f>
        <v>6061</v>
      </c>
      <c r="G176" s="158">
        <f>2690+1940</f>
        <v>4630</v>
      </c>
      <c r="H176" s="158"/>
      <c r="I176" s="158">
        <v>76968</v>
      </c>
      <c r="J176" s="158">
        <v>56969</v>
      </c>
      <c r="K176" s="158"/>
      <c r="L176" s="158">
        <f>29190</f>
        <v>29190</v>
      </c>
      <c r="M176" s="158"/>
      <c r="N176" s="158">
        <v>3400</v>
      </c>
      <c r="O176" s="108">
        <f t="shared" si="27"/>
        <v>320119</v>
      </c>
    </row>
    <row r="177" spans="1:15" s="159" customFormat="1" ht="15" customHeight="1">
      <c r="A177" s="160" t="s">
        <v>220</v>
      </c>
      <c r="B177" s="114" t="s">
        <v>34</v>
      </c>
      <c r="C177" s="158">
        <f>49200+1000</f>
        <v>50200</v>
      </c>
      <c r="D177" s="158">
        <v>31000</v>
      </c>
      <c r="E177" s="158"/>
      <c r="F177" s="158">
        <f>3360+563</f>
        <v>3923</v>
      </c>
      <c r="G177" s="158">
        <f>2570+430</f>
        <v>3000</v>
      </c>
      <c r="H177" s="158"/>
      <c r="I177" s="161">
        <f>115665+3603</f>
        <v>119268</v>
      </c>
      <c r="J177" s="161">
        <f>87050+2700</f>
        <v>89750</v>
      </c>
      <c r="K177" s="158"/>
      <c r="L177" s="158">
        <f>2950+150+755</f>
        <v>3855</v>
      </c>
      <c r="M177" s="158"/>
      <c r="N177" s="158"/>
      <c r="O177" s="119">
        <f t="shared" si="27"/>
        <v>177246</v>
      </c>
    </row>
    <row r="178" spans="1:15" s="159" customFormat="1" ht="20.25" customHeight="1">
      <c r="A178" s="175" t="s">
        <v>184</v>
      </c>
      <c r="B178" s="176" t="s">
        <v>24</v>
      </c>
      <c r="C178" s="168">
        <v>345500</v>
      </c>
      <c r="D178" s="168">
        <v>231000</v>
      </c>
      <c r="E178" s="168"/>
      <c r="F178" s="168">
        <f>8025+4060</f>
        <v>12085</v>
      </c>
      <c r="G178" s="168">
        <f>6125+3100</f>
        <v>9225</v>
      </c>
      <c r="H178" s="168"/>
      <c r="I178" s="168">
        <v>198900</v>
      </c>
      <c r="J178" s="168">
        <v>148031</v>
      </c>
      <c r="K178" s="168"/>
      <c r="L178" s="168">
        <f>72780+350</f>
        <v>73130</v>
      </c>
      <c r="M178" s="168"/>
      <c r="N178" s="168"/>
      <c r="O178" s="108">
        <f t="shared" si="27"/>
        <v>629615</v>
      </c>
    </row>
    <row r="179" spans="1:15" s="159" customFormat="1" ht="19.5" customHeight="1">
      <c r="A179" s="169" t="s">
        <v>185</v>
      </c>
      <c r="B179" s="150" t="s">
        <v>56</v>
      </c>
      <c r="C179" s="168">
        <v>295000</v>
      </c>
      <c r="D179" s="168">
        <v>217000</v>
      </c>
      <c r="E179" s="168"/>
      <c r="F179" s="168">
        <f>7390+3916</f>
        <v>11306</v>
      </c>
      <c r="G179" s="168">
        <f>5640+2990</f>
        <v>8630</v>
      </c>
      <c r="H179" s="168"/>
      <c r="I179" s="170">
        <f>4005+39</f>
        <v>4044</v>
      </c>
      <c r="J179" s="170">
        <v>30</v>
      </c>
      <c r="K179" s="168">
        <v>3500</v>
      </c>
      <c r="L179" s="168">
        <f>31120+700</f>
        <v>31820</v>
      </c>
      <c r="M179" s="168">
        <v>12500</v>
      </c>
      <c r="N179" s="168"/>
      <c r="O179" s="119">
        <f t="shared" si="27"/>
        <v>342170</v>
      </c>
    </row>
    <row r="180" spans="1:15" s="159" customFormat="1" ht="30.75" customHeight="1">
      <c r="A180" s="169" t="s">
        <v>186</v>
      </c>
      <c r="B180" s="150" t="s">
        <v>536</v>
      </c>
      <c r="C180" s="168">
        <v>72200</v>
      </c>
      <c r="D180" s="168">
        <v>41000</v>
      </c>
      <c r="E180" s="168"/>
      <c r="F180" s="168">
        <f>1850+747</f>
        <v>2597</v>
      </c>
      <c r="G180" s="168">
        <f>1410+570</f>
        <v>1980</v>
      </c>
      <c r="H180" s="168"/>
      <c r="I180" s="170">
        <f>45000+150</f>
        <v>45150</v>
      </c>
      <c r="J180" s="170">
        <f>34356+115</f>
        <v>34471</v>
      </c>
      <c r="K180" s="168"/>
      <c r="L180" s="168">
        <f>31500+2000</f>
        <v>33500</v>
      </c>
      <c r="M180" s="168"/>
      <c r="N180" s="168"/>
      <c r="O180" s="119">
        <f t="shared" si="27"/>
        <v>153447</v>
      </c>
    </row>
    <row r="181" spans="1:15" s="177" customFormat="1" ht="18" customHeight="1">
      <c r="A181" s="175" t="s">
        <v>187</v>
      </c>
      <c r="B181" s="106" t="s">
        <v>55</v>
      </c>
      <c r="C181" s="168">
        <f aca="true" t="shared" si="37" ref="C181:N181">SUM(C182:C188)</f>
        <v>422000</v>
      </c>
      <c r="D181" s="168">
        <f t="shared" si="37"/>
        <v>0</v>
      </c>
      <c r="E181" s="168">
        <f t="shared" si="37"/>
        <v>38000</v>
      </c>
      <c r="F181" s="168">
        <f>SUM(F182:F188)</f>
        <v>199122</v>
      </c>
      <c r="G181" s="168">
        <f>SUM(G182:G188)</f>
        <v>0</v>
      </c>
      <c r="H181" s="168">
        <f>SUM(H182:H188)</f>
        <v>80000</v>
      </c>
      <c r="I181" s="168">
        <f t="shared" si="37"/>
        <v>109855</v>
      </c>
      <c r="J181" s="168">
        <f t="shared" si="37"/>
        <v>84193</v>
      </c>
      <c r="K181" s="168">
        <f t="shared" si="37"/>
        <v>0</v>
      </c>
      <c r="L181" s="168">
        <f t="shared" si="37"/>
        <v>0</v>
      </c>
      <c r="M181" s="168">
        <f t="shared" si="37"/>
        <v>0</v>
      </c>
      <c r="N181" s="168">
        <f t="shared" si="37"/>
        <v>0</v>
      </c>
      <c r="O181" s="108">
        <f t="shared" si="27"/>
        <v>730977</v>
      </c>
    </row>
    <row r="182" spans="1:15" s="171" customFormat="1" ht="15" customHeight="1">
      <c r="A182" s="160" t="s">
        <v>325</v>
      </c>
      <c r="B182" s="114" t="s">
        <v>47</v>
      </c>
      <c r="C182" s="161">
        <f>380000-4000</f>
        <v>376000</v>
      </c>
      <c r="D182" s="161"/>
      <c r="E182" s="161"/>
      <c r="F182" s="170"/>
      <c r="G182" s="161"/>
      <c r="H182" s="161"/>
      <c r="I182" s="170"/>
      <c r="J182" s="170"/>
      <c r="K182" s="161"/>
      <c r="L182" s="170"/>
      <c r="M182" s="161"/>
      <c r="N182" s="161"/>
      <c r="O182" s="119">
        <f t="shared" si="27"/>
        <v>376000</v>
      </c>
    </row>
    <row r="183" spans="1:15" s="159" customFormat="1" ht="28.5" customHeight="1">
      <c r="A183" s="148" t="s">
        <v>326</v>
      </c>
      <c r="B183" s="111" t="s">
        <v>300</v>
      </c>
      <c r="C183" s="158">
        <v>4000</v>
      </c>
      <c r="D183" s="158"/>
      <c r="E183" s="158"/>
      <c r="F183" s="168"/>
      <c r="G183" s="158"/>
      <c r="H183" s="158"/>
      <c r="I183" s="168"/>
      <c r="J183" s="168"/>
      <c r="K183" s="158"/>
      <c r="L183" s="168"/>
      <c r="M183" s="158"/>
      <c r="N183" s="158"/>
      <c r="O183" s="108">
        <f t="shared" si="27"/>
        <v>4000</v>
      </c>
    </row>
    <row r="184" spans="1:15" s="180" customFormat="1" ht="27.75" customHeight="1">
      <c r="A184" s="148" t="s">
        <v>327</v>
      </c>
      <c r="B184" s="111" t="s">
        <v>202</v>
      </c>
      <c r="C184" s="158">
        <v>4000</v>
      </c>
      <c r="D184" s="158"/>
      <c r="E184" s="178"/>
      <c r="F184" s="179"/>
      <c r="G184" s="178"/>
      <c r="H184" s="178"/>
      <c r="I184" s="179"/>
      <c r="J184" s="179"/>
      <c r="K184" s="178"/>
      <c r="L184" s="179"/>
      <c r="M184" s="178"/>
      <c r="N184" s="178"/>
      <c r="O184" s="108">
        <f t="shared" si="27"/>
        <v>4000</v>
      </c>
    </row>
    <row r="185" spans="1:15" s="183" customFormat="1" ht="15" customHeight="1">
      <c r="A185" s="160" t="s">
        <v>328</v>
      </c>
      <c r="B185" s="114" t="s">
        <v>338</v>
      </c>
      <c r="C185" s="161"/>
      <c r="D185" s="161"/>
      <c r="E185" s="181"/>
      <c r="F185" s="161">
        <f>92000+10200</f>
        <v>102200</v>
      </c>
      <c r="G185" s="181"/>
      <c r="H185" s="181"/>
      <c r="I185" s="182"/>
      <c r="J185" s="182"/>
      <c r="K185" s="181"/>
      <c r="L185" s="182"/>
      <c r="M185" s="181"/>
      <c r="N185" s="181"/>
      <c r="O185" s="119">
        <f t="shared" si="27"/>
        <v>102200</v>
      </c>
    </row>
    <row r="186" spans="1:15" s="171" customFormat="1" ht="29.25" customHeight="1">
      <c r="A186" s="160" t="s">
        <v>337</v>
      </c>
      <c r="B186" s="114" t="s">
        <v>223</v>
      </c>
      <c r="C186" s="161"/>
      <c r="D186" s="161"/>
      <c r="E186" s="161"/>
      <c r="F186" s="170"/>
      <c r="G186" s="161"/>
      <c r="H186" s="161"/>
      <c r="I186" s="170">
        <f>217618-107763</f>
        <v>109855</v>
      </c>
      <c r="J186" s="161">
        <f>166143-81950</f>
        <v>84193</v>
      </c>
      <c r="K186" s="161"/>
      <c r="L186" s="170"/>
      <c r="M186" s="161"/>
      <c r="N186" s="161"/>
      <c r="O186" s="119">
        <f t="shared" si="27"/>
        <v>109855</v>
      </c>
    </row>
    <row r="187" spans="1:15" s="171" customFormat="1" ht="18.75" customHeight="1">
      <c r="A187" s="160" t="s">
        <v>522</v>
      </c>
      <c r="B187" s="114" t="s">
        <v>524</v>
      </c>
      <c r="C187" s="161"/>
      <c r="D187" s="161"/>
      <c r="E187" s="161"/>
      <c r="F187" s="161">
        <f>22673-5751</f>
        <v>16922</v>
      </c>
      <c r="G187" s="161"/>
      <c r="H187" s="161"/>
      <c r="I187" s="170"/>
      <c r="J187" s="161"/>
      <c r="K187" s="161"/>
      <c r="L187" s="170"/>
      <c r="M187" s="161"/>
      <c r="N187" s="161"/>
      <c r="O187" s="119">
        <f t="shared" si="27"/>
        <v>16922</v>
      </c>
    </row>
    <row r="188" spans="1:15" s="159" customFormat="1" ht="30.75" customHeight="1">
      <c r="A188" s="148" t="s">
        <v>523</v>
      </c>
      <c r="B188" s="111" t="s">
        <v>525</v>
      </c>
      <c r="C188" s="158">
        <v>38000</v>
      </c>
      <c r="D188" s="158"/>
      <c r="E188" s="158">
        <v>38000</v>
      </c>
      <c r="F188" s="158">
        <v>80000</v>
      </c>
      <c r="G188" s="158"/>
      <c r="H188" s="158">
        <v>80000</v>
      </c>
      <c r="I188" s="168"/>
      <c r="J188" s="158"/>
      <c r="K188" s="158"/>
      <c r="L188" s="168"/>
      <c r="M188" s="158"/>
      <c r="N188" s="158"/>
      <c r="O188" s="108">
        <f t="shared" si="27"/>
        <v>118000</v>
      </c>
    </row>
    <row r="189" spans="1:15" s="124" customFormat="1" ht="29.25" customHeight="1">
      <c r="A189" s="104" t="s">
        <v>188</v>
      </c>
      <c r="B189" s="106" t="s">
        <v>31</v>
      </c>
      <c r="C189" s="108">
        <f>C190</f>
        <v>196000</v>
      </c>
      <c r="D189" s="108">
        <f aca="true" t="shared" si="38" ref="D189:N189">D190</f>
        <v>0</v>
      </c>
      <c r="E189" s="108">
        <f t="shared" si="38"/>
        <v>20000</v>
      </c>
      <c r="F189" s="108">
        <f t="shared" si="38"/>
        <v>0</v>
      </c>
      <c r="G189" s="108">
        <f t="shared" si="38"/>
        <v>0</v>
      </c>
      <c r="H189" s="108">
        <f t="shared" si="38"/>
        <v>0</v>
      </c>
      <c r="I189" s="108"/>
      <c r="J189" s="108"/>
      <c r="K189" s="108">
        <f t="shared" si="38"/>
        <v>0</v>
      </c>
      <c r="L189" s="108">
        <f t="shared" si="38"/>
        <v>0</v>
      </c>
      <c r="M189" s="108">
        <f t="shared" si="38"/>
        <v>0</v>
      </c>
      <c r="N189" s="108">
        <f t="shared" si="38"/>
        <v>0</v>
      </c>
      <c r="O189" s="108">
        <f t="shared" si="27"/>
        <v>196000</v>
      </c>
    </row>
    <row r="190" spans="1:15" s="159" customFormat="1" ht="15" customHeight="1">
      <c r="A190" s="173" t="s">
        <v>329</v>
      </c>
      <c r="B190" s="111" t="s">
        <v>51</v>
      </c>
      <c r="C190" s="158">
        <f>SUM(C191:C196)</f>
        <v>196000</v>
      </c>
      <c r="D190" s="158">
        <f aca="true" t="shared" si="39" ref="D190:N190">SUM(D191:D196)</f>
        <v>0</v>
      </c>
      <c r="E190" s="158">
        <f t="shared" si="39"/>
        <v>20000</v>
      </c>
      <c r="F190" s="158">
        <f t="shared" si="39"/>
        <v>0</v>
      </c>
      <c r="G190" s="158">
        <f t="shared" si="39"/>
        <v>0</v>
      </c>
      <c r="H190" s="158">
        <f t="shared" si="39"/>
        <v>0</v>
      </c>
      <c r="I190" s="158">
        <f t="shared" si="39"/>
        <v>0</v>
      </c>
      <c r="J190" s="158">
        <f t="shared" si="39"/>
        <v>0</v>
      </c>
      <c r="K190" s="158">
        <f t="shared" si="39"/>
        <v>0</v>
      </c>
      <c r="L190" s="158">
        <f t="shared" si="39"/>
        <v>0</v>
      </c>
      <c r="M190" s="158">
        <f t="shared" si="39"/>
        <v>0</v>
      </c>
      <c r="N190" s="158">
        <f t="shared" si="39"/>
        <v>0</v>
      </c>
      <c r="O190" s="108">
        <f t="shared" si="27"/>
        <v>196000</v>
      </c>
    </row>
    <row r="191" spans="1:15" s="159" customFormat="1" ht="30" customHeight="1">
      <c r="A191" s="148" t="s">
        <v>330</v>
      </c>
      <c r="B191" s="111" t="s">
        <v>289</v>
      </c>
      <c r="C191" s="158">
        <v>150000</v>
      </c>
      <c r="D191" s="158"/>
      <c r="E191" s="158"/>
      <c r="F191" s="168"/>
      <c r="G191" s="158"/>
      <c r="H191" s="158"/>
      <c r="I191" s="168"/>
      <c r="J191" s="168"/>
      <c r="K191" s="158"/>
      <c r="L191" s="168"/>
      <c r="M191" s="158"/>
      <c r="N191" s="158"/>
      <c r="O191" s="108">
        <f t="shared" si="27"/>
        <v>150000</v>
      </c>
    </row>
    <row r="192" spans="1:15" s="159" customFormat="1" ht="30" customHeight="1">
      <c r="A192" s="148" t="s">
        <v>331</v>
      </c>
      <c r="B192" s="111" t="s">
        <v>376</v>
      </c>
      <c r="C192" s="158">
        <v>6000</v>
      </c>
      <c r="D192" s="158"/>
      <c r="E192" s="158"/>
      <c r="F192" s="168"/>
      <c r="G192" s="158"/>
      <c r="H192" s="158"/>
      <c r="I192" s="168"/>
      <c r="J192" s="168"/>
      <c r="K192" s="158"/>
      <c r="L192" s="168"/>
      <c r="M192" s="158"/>
      <c r="N192" s="158"/>
      <c r="O192" s="108">
        <f t="shared" si="27"/>
        <v>6000</v>
      </c>
    </row>
    <row r="193" spans="1:15" s="159" customFormat="1" ht="28.5" customHeight="1">
      <c r="A193" s="148" t="s">
        <v>332</v>
      </c>
      <c r="B193" s="111" t="s">
        <v>236</v>
      </c>
      <c r="C193" s="158">
        <v>5000</v>
      </c>
      <c r="D193" s="158"/>
      <c r="E193" s="158"/>
      <c r="F193" s="168"/>
      <c r="G193" s="158"/>
      <c r="H193" s="158"/>
      <c r="I193" s="168"/>
      <c r="J193" s="168"/>
      <c r="K193" s="158"/>
      <c r="L193" s="168"/>
      <c r="M193" s="158"/>
      <c r="N193" s="158"/>
      <c r="O193" s="108">
        <f t="shared" si="27"/>
        <v>5000</v>
      </c>
    </row>
    <row r="194" spans="1:15" s="159" customFormat="1" ht="15" customHeight="1">
      <c r="A194" s="148" t="s">
        <v>333</v>
      </c>
      <c r="B194" s="111" t="s">
        <v>235</v>
      </c>
      <c r="C194" s="158">
        <v>5000</v>
      </c>
      <c r="D194" s="158"/>
      <c r="E194" s="158"/>
      <c r="F194" s="168"/>
      <c r="G194" s="158"/>
      <c r="H194" s="158"/>
      <c r="I194" s="168"/>
      <c r="J194" s="168"/>
      <c r="K194" s="158"/>
      <c r="L194" s="168"/>
      <c r="M194" s="158"/>
      <c r="N194" s="158"/>
      <c r="O194" s="108">
        <f>C194+F194+I194+L194</f>
        <v>5000</v>
      </c>
    </row>
    <row r="195" spans="1:15" s="159" customFormat="1" ht="15" customHeight="1">
      <c r="A195" s="148" t="s">
        <v>334</v>
      </c>
      <c r="B195" s="111" t="s">
        <v>339</v>
      </c>
      <c r="C195" s="158">
        <v>10000</v>
      </c>
      <c r="D195" s="158"/>
      <c r="E195" s="158"/>
      <c r="F195" s="168"/>
      <c r="G195" s="158"/>
      <c r="H195" s="158"/>
      <c r="I195" s="168"/>
      <c r="J195" s="168"/>
      <c r="K195" s="158"/>
      <c r="L195" s="168"/>
      <c r="M195" s="158"/>
      <c r="N195" s="158"/>
      <c r="O195" s="108">
        <f>C195+F195+I195+L195</f>
        <v>10000</v>
      </c>
    </row>
    <row r="196" spans="1:15" s="159" customFormat="1" ht="15" customHeight="1">
      <c r="A196" s="148" t="s">
        <v>335</v>
      </c>
      <c r="B196" s="111" t="s">
        <v>221</v>
      </c>
      <c r="C196" s="158">
        <v>20000</v>
      </c>
      <c r="D196" s="158"/>
      <c r="E196" s="158">
        <v>20000</v>
      </c>
      <c r="F196" s="168"/>
      <c r="G196" s="158"/>
      <c r="H196" s="158"/>
      <c r="I196" s="168"/>
      <c r="J196" s="168"/>
      <c r="K196" s="158"/>
      <c r="L196" s="168"/>
      <c r="M196" s="158"/>
      <c r="N196" s="158"/>
      <c r="O196" s="108">
        <f>C196+F196+I196+L196</f>
        <v>20000</v>
      </c>
    </row>
    <row r="197" spans="1:15" s="95" customFormat="1" ht="15" customHeight="1">
      <c r="A197" s="130"/>
      <c r="B197" s="212" t="s">
        <v>382</v>
      </c>
      <c r="C197" s="212"/>
      <c r="D197" s="212"/>
      <c r="E197" s="212"/>
      <c r="F197" s="212"/>
      <c r="G197" s="212"/>
      <c r="H197" s="212"/>
      <c r="I197" s="212"/>
      <c r="J197" s="212"/>
      <c r="K197" s="212"/>
      <c r="L197" s="212"/>
      <c r="M197" s="212"/>
      <c r="N197" s="212"/>
      <c r="O197" s="212"/>
    </row>
    <row r="198" spans="1:15" s="128" customFormat="1" ht="15" customHeight="1">
      <c r="A198" s="131"/>
      <c r="B198" s="106" t="s">
        <v>41</v>
      </c>
      <c r="C198" s="107">
        <f aca="true" t="shared" si="40" ref="C198:O198">C199+C234+C233</f>
        <v>2518300</v>
      </c>
      <c r="D198" s="107">
        <f t="shared" si="40"/>
        <v>384800</v>
      </c>
      <c r="E198" s="107">
        <f t="shared" si="40"/>
        <v>77700</v>
      </c>
      <c r="F198" s="107">
        <f t="shared" si="40"/>
        <v>1002853</v>
      </c>
      <c r="G198" s="107">
        <f t="shared" si="40"/>
        <v>82200</v>
      </c>
      <c r="H198" s="107">
        <f t="shared" si="40"/>
        <v>85750</v>
      </c>
      <c r="I198" s="107">
        <f t="shared" si="40"/>
        <v>0</v>
      </c>
      <c r="J198" s="107">
        <f t="shared" si="40"/>
        <v>0</v>
      </c>
      <c r="K198" s="107">
        <f t="shared" si="40"/>
        <v>0</v>
      </c>
      <c r="L198" s="107">
        <f t="shared" si="40"/>
        <v>121970</v>
      </c>
      <c r="M198" s="107">
        <f t="shared" si="40"/>
        <v>25000</v>
      </c>
      <c r="N198" s="107">
        <f t="shared" si="40"/>
        <v>850</v>
      </c>
      <c r="O198" s="107">
        <f t="shared" si="40"/>
        <v>3643123</v>
      </c>
    </row>
    <row r="199" spans="1:15" s="96" customFormat="1" ht="15" customHeight="1">
      <c r="A199" s="104" t="s">
        <v>189</v>
      </c>
      <c r="B199" s="106" t="s">
        <v>55</v>
      </c>
      <c r="C199" s="108">
        <f>SUM(C200:C232)</f>
        <v>2403000</v>
      </c>
      <c r="D199" s="108">
        <f aca="true" t="shared" si="41" ref="D199:O199">SUM(D200:D232)</f>
        <v>299800</v>
      </c>
      <c r="E199" s="108">
        <f>SUM(E200:E232)</f>
        <v>73700</v>
      </c>
      <c r="F199" s="108">
        <f t="shared" si="41"/>
        <v>860150</v>
      </c>
      <c r="G199" s="108">
        <f t="shared" si="41"/>
        <v>80900</v>
      </c>
      <c r="H199" s="108">
        <f t="shared" si="41"/>
        <v>85750</v>
      </c>
      <c r="I199" s="108">
        <f t="shared" si="41"/>
        <v>0</v>
      </c>
      <c r="J199" s="108">
        <f t="shared" si="41"/>
        <v>0</v>
      </c>
      <c r="K199" s="108">
        <f t="shared" si="41"/>
        <v>0</v>
      </c>
      <c r="L199" s="108">
        <f t="shared" si="41"/>
        <v>0</v>
      </c>
      <c r="M199" s="108">
        <f t="shared" si="41"/>
        <v>0</v>
      </c>
      <c r="N199" s="108">
        <f t="shared" si="41"/>
        <v>0</v>
      </c>
      <c r="O199" s="108">
        <f t="shared" si="41"/>
        <v>3263150</v>
      </c>
    </row>
    <row r="200" spans="1:15" s="171" customFormat="1" ht="14.25" customHeight="1">
      <c r="A200" s="184" t="s">
        <v>211</v>
      </c>
      <c r="B200" s="114" t="s">
        <v>16</v>
      </c>
      <c r="C200" s="146">
        <f>951000-25000</f>
        <v>926000</v>
      </c>
      <c r="D200" s="161"/>
      <c r="E200" s="161"/>
      <c r="F200" s="161"/>
      <c r="G200" s="161"/>
      <c r="H200" s="161"/>
      <c r="I200" s="161"/>
      <c r="J200" s="161"/>
      <c r="K200" s="161"/>
      <c r="L200" s="161"/>
      <c r="M200" s="161"/>
      <c r="N200" s="161"/>
      <c r="O200" s="119">
        <f aca="true" t="shared" si="42" ref="O200:O235">C200+F200+I200+L200</f>
        <v>926000</v>
      </c>
    </row>
    <row r="201" spans="1:15" s="159" customFormat="1" ht="15.75" customHeight="1">
      <c r="A201" s="185" t="s">
        <v>212</v>
      </c>
      <c r="B201" s="111" t="s">
        <v>241</v>
      </c>
      <c r="C201" s="132">
        <v>15000</v>
      </c>
      <c r="D201" s="158"/>
      <c r="E201" s="158"/>
      <c r="F201" s="158"/>
      <c r="G201" s="158"/>
      <c r="H201" s="158"/>
      <c r="I201" s="158"/>
      <c r="J201" s="158"/>
      <c r="K201" s="158"/>
      <c r="L201" s="158"/>
      <c r="M201" s="158"/>
      <c r="N201" s="158"/>
      <c r="O201" s="108">
        <f>C201+F201+I201+L201</f>
        <v>15000</v>
      </c>
    </row>
    <row r="202" spans="1:15" s="171" customFormat="1" ht="27.75" customHeight="1">
      <c r="A202" s="184" t="s">
        <v>213</v>
      </c>
      <c r="B202" s="114" t="s">
        <v>48</v>
      </c>
      <c r="C202" s="146">
        <f>355000-25000</f>
        <v>330000</v>
      </c>
      <c r="D202" s="161"/>
      <c r="E202" s="161"/>
      <c r="F202" s="161"/>
      <c r="G202" s="161"/>
      <c r="H202" s="161"/>
      <c r="I202" s="161"/>
      <c r="J202" s="161"/>
      <c r="K202" s="161"/>
      <c r="L202" s="161"/>
      <c r="M202" s="161"/>
      <c r="N202" s="161"/>
      <c r="O202" s="119">
        <f>C202+F202+I202+L202</f>
        <v>330000</v>
      </c>
    </row>
    <row r="203" spans="1:15" s="159" customFormat="1" ht="14.25" customHeight="1">
      <c r="A203" s="185" t="s">
        <v>246</v>
      </c>
      <c r="B203" s="111" t="s">
        <v>242</v>
      </c>
      <c r="C203" s="132"/>
      <c r="D203" s="158"/>
      <c r="E203" s="158"/>
      <c r="F203" s="158">
        <v>172300</v>
      </c>
      <c r="G203" s="158"/>
      <c r="H203" s="158"/>
      <c r="I203" s="158"/>
      <c r="J203" s="158"/>
      <c r="K203" s="158"/>
      <c r="L203" s="158"/>
      <c r="M203" s="158"/>
      <c r="N203" s="158"/>
      <c r="O203" s="108">
        <f t="shared" si="42"/>
        <v>172300</v>
      </c>
    </row>
    <row r="204" spans="1:15" s="171" customFormat="1" ht="27.75" customHeight="1">
      <c r="A204" s="184" t="s">
        <v>340</v>
      </c>
      <c r="B204" s="114" t="s">
        <v>238</v>
      </c>
      <c r="C204" s="146"/>
      <c r="D204" s="161"/>
      <c r="E204" s="161"/>
      <c r="F204" s="161">
        <f>1200-1000</f>
        <v>200</v>
      </c>
      <c r="G204" s="161"/>
      <c r="H204" s="161"/>
      <c r="I204" s="161"/>
      <c r="J204" s="161"/>
      <c r="K204" s="161"/>
      <c r="L204" s="161"/>
      <c r="M204" s="161"/>
      <c r="N204" s="161"/>
      <c r="O204" s="119">
        <f t="shared" si="42"/>
        <v>200</v>
      </c>
    </row>
    <row r="205" spans="1:15" s="159" customFormat="1" ht="15" customHeight="1">
      <c r="A205" s="185" t="s">
        <v>341</v>
      </c>
      <c r="B205" s="111" t="s">
        <v>239</v>
      </c>
      <c r="C205" s="132"/>
      <c r="D205" s="158"/>
      <c r="E205" s="158"/>
      <c r="F205" s="158">
        <v>57000</v>
      </c>
      <c r="G205" s="158"/>
      <c r="H205" s="158"/>
      <c r="I205" s="158"/>
      <c r="J205" s="158"/>
      <c r="K205" s="158"/>
      <c r="L205" s="158"/>
      <c r="M205" s="158"/>
      <c r="N205" s="158"/>
      <c r="O205" s="108">
        <f t="shared" si="42"/>
        <v>57000</v>
      </c>
    </row>
    <row r="206" spans="1:15" s="171" customFormat="1" ht="15" customHeight="1">
      <c r="A206" s="184" t="s">
        <v>342</v>
      </c>
      <c r="B206" s="114" t="s">
        <v>49</v>
      </c>
      <c r="C206" s="146"/>
      <c r="D206" s="161"/>
      <c r="E206" s="161"/>
      <c r="F206" s="161">
        <f>252000-700</f>
        <v>251300</v>
      </c>
      <c r="G206" s="161"/>
      <c r="H206" s="161"/>
      <c r="I206" s="161"/>
      <c r="J206" s="161"/>
      <c r="K206" s="161"/>
      <c r="L206" s="161"/>
      <c r="M206" s="161"/>
      <c r="N206" s="161"/>
      <c r="O206" s="119">
        <f t="shared" si="42"/>
        <v>251300</v>
      </c>
    </row>
    <row r="207" spans="1:15" s="159" customFormat="1" ht="15" customHeight="1">
      <c r="A207" s="185" t="s">
        <v>343</v>
      </c>
      <c r="B207" s="111" t="s">
        <v>240</v>
      </c>
      <c r="C207" s="132">
        <v>135000</v>
      </c>
      <c r="D207" s="158"/>
      <c r="E207" s="158"/>
      <c r="F207" s="158"/>
      <c r="G207" s="132"/>
      <c r="H207" s="158"/>
      <c r="I207" s="158"/>
      <c r="J207" s="158"/>
      <c r="K207" s="158"/>
      <c r="L207" s="158"/>
      <c r="M207" s="158"/>
      <c r="N207" s="158"/>
      <c r="O207" s="108">
        <f>C207+F207+I207+L207</f>
        <v>135000</v>
      </c>
    </row>
    <row r="208" spans="1:15" s="159" customFormat="1" ht="29.25" customHeight="1">
      <c r="A208" s="184" t="s">
        <v>344</v>
      </c>
      <c r="B208" s="114" t="s">
        <v>296</v>
      </c>
      <c r="C208" s="146"/>
      <c r="D208" s="161"/>
      <c r="E208" s="161"/>
      <c r="F208" s="161">
        <f>157700+30000</f>
        <v>187700</v>
      </c>
      <c r="G208" s="161"/>
      <c r="H208" s="161"/>
      <c r="I208" s="161"/>
      <c r="J208" s="161"/>
      <c r="K208" s="161"/>
      <c r="L208" s="161"/>
      <c r="M208" s="161"/>
      <c r="N208" s="161"/>
      <c r="O208" s="119">
        <f>C208+F208+I208+L208</f>
        <v>187700</v>
      </c>
    </row>
    <row r="209" spans="1:15" s="155" customFormat="1" ht="29.25" customHeight="1">
      <c r="A209" s="186" t="s">
        <v>345</v>
      </c>
      <c r="B209" s="187" t="s">
        <v>243</v>
      </c>
      <c r="C209" s="116"/>
      <c r="D209" s="112"/>
      <c r="E209" s="112"/>
      <c r="F209" s="112">
        <f>98200+2200</f>
        <v>100400</v>
      </c>
      <c r="G209" s="112">
        <f>75000+1700</f>
        <v>76700</v>
      </c>
      <c r="H209" s="112"/>
      <c r="I209" s="112"/>
      <c r="J209" s="112"/>
      <c r="K209" s="112"/>
      <c r="L209" s="112"/>
      <c r="M209" s="112"/>
      <c r="N209" s="112"/>
      <c r="O209" s="108">
        <f>C209+F209+I209+L209</f>
        <v>100400</v>
      </c>
    </row>
    <row r="210" spans="1:15" s="171" customFormat="1" ht="28.5" customHeight="1">
      <c r="A210" s="188" t="s">
        <v>346</v>
      </c>
      <c r="B210" s="114" t="s">
        <v>109</v>
      </c>
      <c r="C210" s="146">
        <f>270000+30000</f>
        <v>300000</v>
      </c>
      <c r="D210" s="161"/>
      <c r="E210" s="161"/>
      <c r="F210" s="161"/>
      <c r="G210" s="161"/>
      <c r="H210" s="161"/>
      <c r="I210" s="170"/>
      <c r="J210" s="170"/>
      <c r="K210" s="161"/>
      <c r="L210" s="170"/>
      <c r="M210" s="161"/>
      <c r="N210" s="161"/>
      <c r="O210" s="119">
        <f t="shared" si="42"/>
        <v>300000</v>
      </c>
    </row>
    <row r="211" spans="1:15" s="159" customFormat="1" ht="44.25" customHeight="1">
      <c r="A211" s="186" t="s">
        <v>347</v>
      </c>
      <c r="B211" s="111" t="s">
        <v>377</v>
      </c>
      <c r="C211" s="132">
        <v>2500</v>
      </c>
      <c r="D211" s="158"/>
      <c r="E211" s="158"/>
      <c r="F211" s="158"/>
      <c r="G211" s="158"/>
      <c r="H211" s="158"/>
      <c r="I211" s="158"/>
      <c r="J211" s="158"/>
      <c r="K211" s="158"/>
      <c r="L211" s="168"/>
      <c r="M211" s="158"/>
      <c r="N211" s="158"/>
      <c r="O211" s="108">
        <f t="shared" si="42"/>
        <v>2500</v>
      </c>
    </row>
    <row r="212" spans="1:16" s="103" customFormat="1" ht="28.5" customHeight="1">
      <c r="A212" s="186" t="s">
        <v>348</v>
      </c>
      <c r="B212" s="111" t="s">
        <v>295</v>
      </c>
      <c r="C212" s="116">
        <v>4000</v>
      </c>
      <c r="D212" s="127"/>
      <c r="E212" s="127"/>
      <c r="F212" s="127"/>
      <c r="G212" s="127"/>
      <c r="H212" s="127"/>
      <c r="I212" s="127"/>
      <c r="J212" s="127"/>
      <c r="K212" s="127"/>
      <c r="L212" s="127"/>
      <c r="M212" s="127"/>
      <c r="N212" s="127"/>
      <c r="O212" s="108">
        <f t="shared" si="42"/>
        <v>4000</v>
      </c>
      <c r="P212" s="128"/>
    </row>
    <row r="213" spans="1:16" s="103" customFormat="1" ht="28.5" customHeight="1">
      <c r="A213" s="186" t="s">
        <v>349</v>
      </c>
      <c r="B213" s="111" t="s">
        <v>366</v>
      </c>
      <c r="C213" s="116">
        <v>2700</v>
      </c>
      <c r="D213" s="127"/>
      <c r="E213" s="127"/>
      <c r="F213" s="127"/>
      <c r="G213" s="127"/>
      <c r="H213" s="127"/>
      <c r="I213" s="127"/>
      <c r="J213" s="127"/>
      <c r="K213" s="127"/>
      <c r="L213" s="127"/>
      <c r="M213" s="127"/>
      <c r="N213" s="127"/>
      <c r="O213" s="108">
        <f t="shared" si="42"/>
        <v>2700</v>
      </c>
      <c r="P213" s="128"/>
    </row>
    <row r="214" spans="1:16" s="103" customFormat="1" ht="15" customHeight="1">
      <c r="A214" s="186" t="s">
        <v>350</v>
      </c>
      <c r="B214" s="111" t="s">
        <v>367</v>
      </c>
      <c r="C214" s="116">
        <v>20000</v>
      </c>
      <c r="D214" s="127"/>
      <c r="E214" s="127"/>
      <c r="F214" s="127"/>
      <c r="G214" s="127"/>
      <c r="H214" s="127"/>
      <c r="I214" s="127"/>
      <c r="J214" s="127"/>
      <c r="K214" s="127"/>
      <c r="L214" s="127"/>
      <c r="M214" s="127"/>
      <c r="N214" s="127"/>
      <c r="O214" s="108">
        <f t="shared" si="42"/>
        <v>20000</v>
      </c>
      <c r="P214" s="128"/>
    </row>
    <row r="215" spans="1:16" s="165" customFormat="1" ht="43.5" customHeight="1">
      <c r="A215" s="188" t="s">
        <v>351</v>
      </c>
      <c r="B215" s="114" t="s">
        <v>290</v>
      </c>
      <c r="C215" s="117">
        <f>12000+2000</f>
        <v>14000</v>
      </c>
      <c r="D215" s="189"/>
      <c r="E215" s="189"/>
      <c r="F215" s="189"/>
      <c r="G215" s="189"/>
      <c r="H215" s="189"/>
      <c r="I215" s="189"/>
      <c r="J215" s="189"/>
      <c r="K215" s="189"/>
      <c r="L215" s="189"/>
      <c r="M215" s="189"/>
      <c r="N215" s="189"/>
      <c r="O215" s="119">
        <f t="shared" si="42"/>
        <v>14000</v>
      </c>
      <c r="P215" s="145"/>
    </row>
    <row r="216" spans="1:15" s="159" customFormat="1" ht="14.25" customHeight="1">
      <c r="A216" s="186" t="s">
        <v>352</v>
      </c>
      <c r="B216" s="111" t="s">
        <v>292</v>
      </c>
      <c r="C216" s="132">
        <v>1000</v>
      </c>
      <c r="D216" s="158"/>
      <c r="E216" s="158"/>
      <c r="F216" s="168"/>
      <c r="G216" s="158"/>
      <c r="H216" s="158"/>
      <c r="I216" s="168"/>
      <c r="J216" s="168"/>
      <c r="K216" s="158"/>
      <c r="L216" s="168"/>
      <c r="M216" s="158"/>
      <c r="N216" s="158"/>
      <c r="O216" s="108">
        <f t="shared" si="42"/>
        <v>1000</v>
      </c>
    </row>
    <row r="217" spans="1:15" s="159" customFormat="1" ht="15.75" customHeight="1">
      <c r="A217" s="186" t="s">
        <v>353</v>
      </c>
      <c r="B217" s="111" t="s">
        <v>370</v>
      </c>
      <c r="C217" s="132">
        <f>16160+1700+9000</f>
        <v>26860</v>
      </c>
      <c r="D217" s="158"/>
      <c r="E217" s="158"/>
      <c r="F217" s="168"/>
      <c r="G217" s="158"/>
      <c r="H217" s="158"/>
      <c r="I217" s="168"/>
      <c r="J217" s="168"/>
      <c r="K217" s="158"/>
      <c r="L217" s="168"/>
      <c r="M217" s="158"/>
      <c r="N217" s="158"/>
      <c r="O217" s="108">
        <f>C217+F217+I217+L217</f>
        <v>26860</v>
      </c>
    </row>
    <row r="218" spans="1:15" s="159" customFormat="1" ht="29.25" customHeight="1">
      <c r="A218" s="186" t="s">
        <v>354</v>
      </c>
      <c r="B218" s="111" t="s">
        <v>298</v>
      </c>
      <c r="C218" s="132">
        <v>8840</v>
      </c>
      <c r="D218" s="158"/>
      <c r="E218" s="158"/>
      <c r="F218" s="168"/>
      <c r="G218" s="158"/>
      <c r="H218" s="158"/>
      <c r="I218" s="168"/>
      <c r="J218" s="168"/>
      <c r="K218" s="158"/>
      <c r="L218" s="168"/>
      <c r="M218" s="158"/>
      <c r="N218" s="158"/>
      <c r="O218" s="108">
        <f>C218+F218+I218+L218</f>
        <v>8840</v>
      </c>
    </row>
    <row r="219" spans="1:15" s="165" customFormat="1" ht="29.25" customHeight="1">
      <c r="A219" s="188" t="s">
        <v>355</v>
      </c>
      <c r="B219" s="144" t="s">
        <v>50</v>
      </c>
      <c r="C219" s="117">
        <f>90000+20000</f>
        <v>110000</v>
      </c>
      <c r="D219" s="190"/>
      <c r="E219" s="190"/>
      <c r="F219" s="190"/>
      <c r="G219" s="190"/>
      <c r="H219" s="190"/>
      <c r="I219" s="190"/>
      <c r="J219" s="190"/>
      <c r="K219" s="190"/>
      <c r="L219" s="190"/>
      <c r="M219" s="190"/>
      <c r="N219" s="190"/>
      <c r="O219" s="119">
        <f>C219+F219+I219+L219</f>
        <v>110000</v>
      </c>
    </row>
    <row r="220" spans="1:15" s="159" customFormat="1" ht="16.5" customHeight="1">
      <c r="A220" s="186" t="s">
        <v>356</v>
      </c>
      <c r="B220" s="111" t="s">
        <v>214</v>
      </c>
      <c r="C220" s="132">
        <f>11500+4300</f>
        <v>15800</v>
      </c>
      <c r="D220" s="158"/>
      <c r="E220" s="158"/>
      <c r="F220" s="168"/>
      <c r="G220" s="158"/>
      <c r="H220" s="158"/>
      <c r="I220" s="168"/>
      <c r="J220" s="168"/>
      <c r="K220" s="158"/>
      <c r="L220" s="168"/>
      <c r="M220" s="158"/>
      <c r="N220" s="158"/>
      <c r="O220" s="108">
        <f>C220+F220+I220+L220</f>
        <v>15800</v>
      </c>
    </row>
    <row r="221" spans="1:15" s="159" customFormat="1" ht="30.75" customHeight="1">
      <c r="A221" s="186" t="s">
        <v>357</v>
      </c>
      <c r="B221" s="111" t="s">
        <v>299</v>
      </c>
      <c r="C221" s="132">
        <v>44700</v>
      </c>
      <c r="D221" s="158"/>
      <c r="E221" s="158">
        <v>44700</v>
      </c>
      <c r="F221" s="168"/>
      <c r="G221" s="158"/>
      <c r="H221" s="158"/>
      <c r="I221" s="168"/>
      <c r="J221" s="168"/>
      <c r="K221" s="158"/>
      <c r="L221" s="168"/>
      <c r="M221" s="158"/>
      <c r="N221" s="158"/>
      <c r="O221" s="108">
        <f>C221+F221+I221+L221</f>
        <v>44700</v>
      </c>
    </row>
    <row r="222" spans="1:15" s="159" customFormat="1" ht="28.5" customHeight="1">
      <c r="A222" s="186" t="s">
        <v>358</v>
      </c>
      <c r="B222" s="111" t="s">
        <v>245</v>
      </c>
      <c r="C222" s="132">
        <v>65200</v>
      </c>
      <c r="D222" s="158">
        <v>49800</v>
      </c>
      <c r="E222" s="158"/>
      <c r="F222" s="168">
        <v>980</v>
      </c>
      <c r="G222" s="158">
        <v>750</v>
      </c>
      <c r="H222" s="158"/>
      <c r="I222" s="168"/>
      <c r="J222" s="168"/>
      <c r="K222" s="158"/>
      <c r="L222" s="168"/>
      <c r="M222" s="158"/>
      <c r="N222" s="158"/>
      <c r="O222" s="108">
        <f t="shared" si="42"/>
        <v>66180</v>
      </c>
    </row>
    <row r="223" spans="1:15" s="159" customFormat="1" ht="30" customHeight="1">
      <c r="A223" s="186" t="s">
        <v>359</v>
      </c>
      <c r="B223" s="111" t="s">
        <v>293</v>
      </c>
      <c r="C223" s="132">
        <v>58000</v>
      </c>
      <c r="D223" s="158">
        <v>44300</v>
      </c>
      <c r="E223" s="158"/>
      <c r="F223" s="168">
        <v>860</v>
      </c>
      <c r="G223" s="158">
        <v>660</v>
      </c>
      <c r="H223" s="158"/>
      <c r="I223" s="168"/>
      <c r="J223" s="168"/>
      <c r="K223" s="158"/>
      <c r="L223" s="168"/>
      <c r="M223" s="158"/>
      <c r="N223" s="158"/>
      <c r="O223" s="108">
        <f t="shared" si="42"/>
        <v>58860</v>
      </c>
    </row>
    <row r="224" spans="1:15" s="159" customFormat="1" ht="29.25" customHeight="1">
      <c r="A224" s="186" t="s">
        <v>360</v>
      </c>
      <c r="B224" s="111" t="s">
        <v>294</v>
      </c>
      <c r="C224" s="132">
        <f>108600+29000</f>
        <v>137600</v>
      </c>
      <c r="D224" s="158">
        <v>82900</v>
      </c>
      <c r="E224" s="158">
        <v>29000</v>
      </c>
      <c r="F224" s="168">
        <v>1640</v>
      </c>
      <c r="G224" s="158">
        <v>1250</v>
      </c>
      <c r="H224" s="158"/>
      <c r="I224" s="168"/>
      <c r="J224" s="168"/>
      <c r="K224" s="158"/>
      <c r="L224" s="168"/>
      <c r="M224" s="158"/>
      <c r="N224" s="158"/>
      <c r="O224" s="108">
        <f t="shared" si="42"/>
        <v>139240</v>
      </c>
    </row>
    <row r="225" spans="1:15" s="159" customFormat="1" ht="43.5" customHeight="1">
      <c r="A225" s="186" t="s">
        <v>361</v>
      </c>
      <c r="B225" s="111" t="s">
        <v>291</v>
      </c>
      <c r="C225" s="132">
        <v>41200</v>
      </c>
      <c r="D225" s="158">
        <v>28800</v>
      </c>
      <c r="E225" s="158"/>
      <c r="F225" s="168">
        <v>550</v>
      </c>
      <c r="G225" s="158">
        <v>420</v>
      </c>
      <c r="H225" s="158"/>
      <c r="I225" s="168"/>
      <c r="J225" s="168"/>
      <c r="K225" s="158"/>
      <c r="L225" s="168"/>
      <c r="M225" s="158"/>
      <c r="N225" s="158"/>
      <c r="O225" s="108">
        <f t="shared" si="42"/>
        <v>41750</v>
      </c>
    </row>
    <row r="226" spans="1:15" s="159" customFormat="1" ht="44.25" customHeight="1">
      <c r="A226" s="186" t="s">
        <v>362</v>
      </c>
      <c r="B226" s="111" t="s">
        <v>391</v>
      </c>
      <c r="C226" s="132">
        <v>107500</v>
      </c>
      <c r="D226" s="158">
        <v>76000</v>
      </c>
      <c r="E226" s="158"/>
      <c r="F226" s="168">
        <v>1470</v>
      </c>
      <c r="G226" s="158">
        <v>1120</v>
      </c>
      <c r="H226" s="158"/>
      <c r="I226" s="168"/>
      <c r="J226" s="168"/>
      <c r="K226" s="158"/>
      <c r="L226" s="168"/>
      <c r="M226" s="158"/>
      <c r="N226" s="158"/>
      <c r="O226" s="108">
        <f t="shared" si="42"/>
        <v>108970</v>
      </c>
    </row>
    <row r="227" spans="1:15" s="159" customFormat="1" ht="30.75" customHeight="1">
      <c r="A227" s="186" t="s">
        <v>363</v>
      </c>
      <c r="B227" s="111" t="s">
        <v>302</v>
      </c>
      <c r="C227" s="132">
        <v>4600</v>
      </c>
      <c r="D227" s="158">
        <v>3500</v>
      </c>
      <c r="E227" s="158"/>
      <c r="F227" s="168"/>
      <c r="G227" s="158"/>
      <c r="H227" s="158"/>
      <c r="I227" s="168"/>
      <c r="J227" s="168"/>
      <c r="K227" s="158"/>
      <c r="L227" s="168"/>
      <c r="M227" s="158"/>
      <c r="N227" s="158"/>
      <c r="O227" s="108">
        <f t="shared" si="42"/>
        <v>4600</v>
      </c>
    </row>
    <row r="228" spans="1:15" s="159" customFormat="1" ht="45.75" customHeight="1">
      <c r="A228" s="186" t="s">
        <v>364</v>
      </c>
      <c r="B228" s="111" t="s">
        <v>307</v>
      </c>
      <c r="C228" s="132">
        <v>19300</v>
      </c>
      <c r="D228" s="158">
        <v>14500</v>
      </c>
      <c r="E228" s="158"/>
      <c r="F228" s="168"/>
      <c r="G228" s="158"/>
      <c r="H228" s="158"/>
      <c r="I228" s="168"/>
      <c r="J228" s="168"/>
      <c r="K228" s="158"/>
      <c r="L228" s="168"/>
      <c r="M228" s="158"/>
      <c r="N228" s="158"/>
      <c r="O228" s="108">
        <f t="shared" si="42"/>
        <v>19300</v>
      </c>
    </row>
    <row r="229" spans="1:15" s="159" customFormat="1" ht="31.5" customHeight="1">
      <c r="A229" s="186" t="s">
        <v>368</v>
      </c>
      <c r="B229" s="111" t="s">
        <v>297</v>
      </c>
      <c r="C229" s="132">
        <v>4900</v>
      </c>
      <c r="D229" s="158"/>
      <c r="E229" s="158"/>
      <c r="F229" s="168"/>
      <c r="G229" s="158"/>
      <c r="H229" s="158"/>
      <c r="I229" s="168"/>
      <c r="J229" s="168"/>
      <c r="K229" s="158"/>
      <c r="L229" s="168"/>
      <c r="M229" s="158"/>
      <c r="N229" s="158"/>
      <c r="O229" s="108">
        <f t="shared" si="42"/>
        <v>4900</v>
      </c>
    </row>
    <row r="230" spans="1:15" s="159" customFormat="1" ht="57.75" customHeight="1">
      <c r="A230" s="186" t="s">
        <v>369</v>
      </c>
      <c r="B230" s="111" t="s">
        <v>371</v>
      </c>
      <c r="C230" s="132">
        <v>8300</v>
      </c>
      <c r="D230" s="158"/>
      <c r="E230" s="158"/>
      <c r="F230" s="168"/>
      <c r="G230" s="158"/>
      <c r="H230" s="158"/>
      <c r="I230" s="168"/>
      <c r="J230" s="168"/>
      <c r="K230" s="158"/>
      <c r="L230" s="168"/>
      <c r="M230" s="158"/>
      <c r="N230" s="158"/>
      <c r="O230" s="108">
        <f t="shared" si="42"/>
        <v>8300</v>
      </c>
    </row>
    <row r="231" spans="1:15" s="171" customFormat="1" ht="31.5" customHeight="1">
      <c r="A231" s="188" t="s">
        <v>537</v>
      </c>
      <c r="B231" s="114" t="s">
        <v>541</v>
      </c>
      <c r="C231" s="146"/>
      <c r="D231" s="161"/>
      <c r="E231" s="161"/>
      <c r="F231" s="161">
        <v>35955</v>
      </c>
      <c r="G231" s="161"/>
      <c r="H231" s="161">
        <v>35955</v>
      </c>
      <c r="I231" s="170"/>
      <c r="J231" s="170"/>
      <c r="K231" s="161"/>
      <c r="L231" s="170"/>
      <c r="M231" s="161"/>
      <c r="N231" s="161"/>
      <c r="O231" s="119">
        <f t="shared" si="42"/>
        <v>35955</v>
      </c>
    </row>
    <row r="232" spans="1:15" s="171" customFormat="1" ht="30.75" customHeight="1">
      <c r="A232" s="188" t="s">
        <v>538</v>
      </c>
      <c r="B232" s="114" t="s">
        <v>539</v>
      </c>
      <c r="C232" s="146"/>
      <c r="D232" s="161"/>
      <c r="E232" s="161"/>
      <c r="F232" s="161">
        <v>49795</v>
      </c>
      <c r="G232" s="161"/>
      <c r="H232" s="161">
        <v>49795</v>
      </c>
      <c r="I232" s="170"/>
      <c r="J232" s="170"/>
      <c r="K232" s="161"/>
      <c r="L232" s="170"/>
      <c r="M232" s="161"/>
      <c r="N232" s="161"/>
      <c r="O232" s="119">
        <f t="shared" si="42"/>
        <v>49795</v>
      </c>
    </row>
    <row r="233" spans="1:15" s="103" customFormat="1" ht="16.5" customHeight="1">
      <c r="A233" s="104" t="s">
        <v>265</v>
      </c>
      <c r="B233" s="106" t="s">
        <v>15</v>
      </c>
      <c r="C233" s="118">
        <f>111300+4000</f>
        <v>115300</v>
      </c>
      <c r="D233" s="108">
        <v>85000</v>
      </c>
      <c r="E233" s="108">
        <v>4000</v>
      </c>
      <c r="F233" s="108">
        <v>1703</v>
      </c>
      <c r="G233" s="108">
        <v>1300</v>
      </c>
      <c r="H233" s="108"/>
      <c r="I233" s="108"/>
      <c r="J233" s="108"/>
      <c r="K233" s="108"/>
      <c r="L233" s="108">
        <f>121880+90</f>
        <v>121970</v>
      </c>
      <c r="M233" s="108">
        <v>25000</v>
      </c>
      <c r="N233" s="108">
        <v>850</v>
      </c>
      <c r="O233" s="108">
        <f t="shared" si="42"/>
        <v>238973</v>
      </c>
    </row>
    <row r="234" spans="1:15" s="159" customFormat="1" ht="31.5" customHeight="1">
      <c r="A234" s="104" t="s">
        <v>190</v>
      </c>
      <c r="B234" s="106" t="s">
        <v>31</v>
      </c>
      <c r="C234" s="132"/>
      <c r="D234" s="158"/>
      <c r="E234" s="158"/>
      <c r="F234" s="168">
        <f>SUM(F235)</f>
        <v>141000</v>
      </c>
      <c r="G234" s="158"/>
      <c r="H234" s="158"/>
      <c r="I234" s="168"/>
      <c r="J234" s="168"/>
      <c r="K234" s="158"/>
      <c r="L234" s="168"/>
      <c r="M234" s="158"/>
      <c r="N234" s="158"/>
      <c r="O234" s="108">
        <f t="shared" si="42"/>
        <v>141000</v>
      </c>
    </row>
    <row r="235" spans="1:15" s="133" customFormat="1" ht="16.5" customHeight="1">
      <c r="A235" s="125" t="s">
        <v>107</v>
      </c>
      <c r="B235" s="126" t="s">
        <v>43</v>
      </c>
      <c r="C235" s="132"/>
      <c r="D235" s="126"/>
      <c r="E235" s="132"/>
      <c r="F235" s="132">
        <v>141000</v>
      </c>
      <c r="G235" s="132"/>
      <c r="H235" s="132"/>
      <c r="I235" s="126"/>
      <c r="J235" s="126"/>
      <c r="K235" s="126"/>
      <c r="L235" s="126"/>
      <c r="M235" s="126"/>
      <c r="N235" s="126"/>
      <c r="O235" s="108">
        <f t="shared" si="42"/>
        <v>141000</v>
      </c>
    </row>
    <row r="236" spans="1:17" s="128" customFormat="1" ht="18" customHeight="1">
      <c r="A236" s="191"/>
      <c r="B236" s="192" t="s">
        <v>33</v>
      </c>
      <c r="C236" s="193">
        <f aca="true" t="shared" si="43" ref="C236:O236">C15+C48+C55+C61+C91+C115+C143+C198</f>
        <v>13153140</v>
      </c>
      <c r="D236" s="193">
        <f t="shared" si="43"/>
        <v>5158220</v>
      </c>
      <c r="E236" s="193">
        <f t="shared" si="43"/>
        <v>575690</v>
      </c>
      <c r="F236" s="193">
        <f t="shared" si="43"/>
        <v>3139533</v>
      </c>
      <c r="G236" s="193">
        <f t="shared" si="43"/>
        <v>841094</v>
      </c>
      <c r="H236" s="193">
        <f t="shared" si="43"/>
        <v>717740</v>
      </c>
      <c r="I236" s="193">
        <f t="shared" si="43"/>
        <v>6916200</v>
      </c>
      <c r="J236" s="193">
        <f t="shared" si="43"/>
        <v>4225815</v>
      </c>
      <c r="K236" s="193">
        <f t="shared" si="43"/>
        <v>756975</v>
      </c>
      <c r="L236" s="193">
        <f t="shared" si="43"/>
        <v>1358545</v>
      </c>
      <c r="M236" s="193">
        <f t="shared" si="43"/>
        <v>40975</v>
      </c>
      <c r="N236" s="193">
        <f t="shared" si="43"/>
        <v>14040</v>
      </c>
      <c r="O236" s="193">
        <f t="shared" si="43"/>
        <v>24567418</v>
      </c>
      <c r="Q236" s="124"/>
    </row>
    <row r="237" spans="1:17" s="159" customFormat="1" ht="31.5" customHeight="1">
      <c r="A237" s="104" t="s">
        <v>191</v>
      </c>
      <c r="B237" s="106" t="s">
        <v>31</v>
      </c>
      <c r="C237" s="168">
        <f>SUM(C238)</f>
        <v>901300</v>
      </c>
      <c r="D237" s="158"/>
      <c r="E237" s="158"/>
      <c r="F237" s="168">
        <f>SUM(F238)</f>
        <v>0</v>
      </c>
      <c r="G237" s="158"/>
      <c r="H237" s="158"/>
      <c r="I237" s="168"/>
      <c r="J237" s="168"/>
      <c r="K237" s="158"/>
      <c r="L237" s="168"/>
      <c r="M237" s="158"/>
      <c r="N237" s="158"/>
      <c r="O237" s="108">
        <f>C237+F237+I237+L237</f>
        <v>901300</v>
      </c>
      <c r="Q237" s="177"/>
    </row>
    <row r="238" spans="1:15" s="128" customFormat="1" ht="18" customHeight="1">
      <c r="A238" s="194" t="s">
        <v>365</v>
      </c>
      <c r="B238" s="126" t="s">
        <v>372</v>
      </c>
      <c r="C238" s="112">
        <v>901300</v>
      </c>
      <c r="D238" s="127"/>
      <c r="E238" s="112"/>
      <c r="F238" s="127"/>
      <c r="G238" s="127"/>
      <c r="H238" s="127"/>
      <c r="I238" s="127"/>
      <c r="J238" s="127"/>
      <c r="K238" s="127"/>
      <c r="L238" s="127"/>
      <c r="M238" s="127"/>
      <c r="N238" s="127"/>
      <c r="O238" s="108">
        <f>C238+F238+I238+L238</f>
        <v>901300</v>
      </c>
    </row>
    <row r="239" spans="1:12" s="128" customFormat="1" ht="15" customHeight="1">
      <c r="A239" s="93"/>
      <c r="B239" s="94"/>
      <c r="C239" s="124"/>
      <c r="F239" s="124"/>
      <c r="I239" s="124"/>
      <c r="J239" s="124"/>
      <c r="L239" s="124"/>
    </row>
    <row r="240" spans="1:12" s="128" customFormat="1" ht="15" customHeight="1">
      <c r="A240" s="93"/>
      <c r="B240" s="195"/>
      <c r="C240" s="103"/>
      <c r="F240" s="124"/>
      <c r="I240" s="124"/>
      <c r="J240" s="124"/>
      <c r="L240" s="124"/>
    </row>
    <row r="241" spans="1:12" s="128" customFormat="1" ht="15" customHeight="1">
      <c r="A241" s="93"/>
      <c r="B241" s="195"/>
      <c r="C241" s="103"/>
      <c r="F241" s="124"/>
      <c r="I241" s="124"/>
      <c r="J241" s="124"/>
      <c r="L241" s="124"/>
    </row>
    <row r="242" spans="1:12" s="128" customFormat="1" ht="15" customHeight="1">
      <c r="A242" s="93"/>
      <c r="B242" s="195"/>
      <c r="C242" s="103"/>
      <c r="F242" s="124"/>
      <c r="G242" s="196"/>
      <c r="H242" s="196"/>
      <c r="I242" s="197"/>
      <c r="J242" s="197"/>
      <c r="L242" s="124"/>
    </row>
    <row r="243" spans="1:12" s="128" customFormat="1" ht="15" customHeight="1">
      <c r="A243" s="93"/>
      <c r="B243" s="195"/>
      <c r="C243" s="103"/>
      <c r="F243" s="124"/>
      <c r="I243" s="124"/>
      <c r="J243" s="124"/>
      <c r="L243" s="124"/>
    </row>
    <row r="244" spans="1:12" s="128" customFormat="1" ht="15" customHeight="1">
      <c r="A244" s="93"/>
      <c r="B244" s="94"/>
      <c r="C244" s="124"/>
      <c r="F244" s="124"/>
      <c r="I244" s="124"/>
      <c r="J244" s="124"/>
      <c r="L244" s="124"/>
    </row>
    <row r="245" spans="1:12" s="128" customFormat="1" ht="15" customHeight="1">
      <c r="A245" s="93"/>
      <c r="B245" s="94"/>
      <c r="C245" s="124"/>
      <c r="F245" s="124"/>
      <c r="I245" s="124"/>
      <c r="J245" s="124"/>
      <c r="L245" s="124"/>
    </row>
    <row r="246" spans="1:12" s="128" customFormat="1" ht="15" customHeight="1">
      <c r="A246" s="93"/>
      <c r="B246" s="94"/>
      <c r="C246" s="124"/>
      <c r="F246" s="124"/>
      <c r="I246" s="124"/>
      <c r="J246" s="124"/>
      <c r="L246" s="124"/>
    </row>
    <row r="247" spans="1:12" s="128" customFormat="1" ht="15" customHeight="1">
      <c r="A247" s="93"/>
      <c r="B247" s="94"/>
      <c r="C247" s="124"/>
      <c r="F247" s="124"/>
      <c r="I247" s="124"/>
      <c r="J247" s="124"/>
      <c r="L247" s="124"/>
    </row>
    <row r="248" spans="1:12" s="128" customFormat="1" ht="15" customHeight="1">
      <c r="A248" s="93"/>
      <c r="B248" s="94"/>
      <c r="C248" s="124"/>
      <c r="F248" s="124"/>
      <c r="I248" s="124"/>
      <c r="J248" s="124"/>
      <c r="L248" s="124"/>
    </row>
    <row r="249" spans="1:12" s="128" customFormat="1" ht="15" customHeight="1">
      <c r="A249" s="93"/>
      <c r="B249" s="94"/>
      <c r="C249" s="124"/>
      <c r="F249" s="124"/>
      <c r="I249" s="124"/>
      <c r="J249" s="124"/>
      <c r="L249" s="124"/>
    </row>
    <row r="250" spans="1:12" s="128" customFormat="1" ht="15" customHeight="1">
      <c r="A250" s="93"/>
      <c r="B250" s="94"/>
      <c r="C250" s="124"/>
      <c r="F250" s="124"/>
      <c r="I250" s="124"/>
      <c r="J250" s="124"/>
      <c r="L250" s="124"/>
    </row>
    <row r="251" spans="1:12" s="128" customFormat="1" ht="15" customHeight="1">
      <c r="A251" s="93"/>
      <c r="B251" s="94"/>
      <c r="C251" s="124"/>
      <c r="F251" s="124"/>
      <c r="I251" s="124"/>
      <c r="J251" s="124"/>
      <c r="L251" s="124"/>
    </row>
    <row r="252" spans="1:12" s="128" customFormat="1" ht="15" customHeight="1">
      <c r="A252" s="93"/>
      <c r="B252" s="94"/>
      <c r="C252" s="124"/>
      <c r="F252" s="124"/>
      <c r="I252" s="124"/>
      <c r="J252" s="124"/>
      <c r="L252" s="124"/>
    </row>
    <row r="253" spans="1:12" s="128" customFormat="1" ht="15" customHeight="1">
      <c r="A253" s="93"/>
      <c r="B253" s="94"/>
      <c r="C253" s="124"/>
      <c r="F253" s="124"/>
      <c r="I253" s="124"/>
      <c r="J253" s="124"/>
      <c r="L253" s="124"/>
    </row>
    <row r="254" spans="1:12" s="128" customFormat="1" ht="15" customHeight="1">
      <c r="A254" s="93"/>
      <c r="B254" s="94"/>
      <c r="C254" s="124"/>
      <c r="F254" s="124"/>
      <c r="I254" s="124"/>
      <c r="J254" s="124"/>
      <c r="L254" s="124"/>
    </row>
    <row r="255" spans="1:12" s="128" customFormat="1" ht="15" customHeight="1">
      <c r="A255" s="93"/>
      <c r="B255" s="94"/>
      <c r="C255" s="124"/>
      <c r="F255" s="124"/>
      <c r="I255" s="124"/>
      <c r="J255" s="124"/>
      <c r="L255" s="124"/>
    </row>
    <row r="256" spans="1:12" s="128" customFormat="1" ht="15" customHeight="1">
      <c r="A256" s="93"/>
      <c r="B256" s="94"/>
      <c r="C256" s="124"/>
      <c r="F256" s="124"/>
      <c r="I256" s="124"/>
      <c r="J256" s="124"/>
      <c r="L256" s="124"/>
    </row>
    <row r="257" spans="1:12" s="128" customFormat="1" ht="15" customHeight="1">
      <c r="A257" s="93"/>
      <c r="B257" s="94"/>
      <c r="C257" s="124"/>
      <c r="F257" s="124"/>
      <c r="I257" s="124"/>
      <c r="J257" s="124"/>
      <c r="L257" s="124"/>
    </row>
    <row r="258" spans="1:12" s="128" customFormat="1" ht="15" customHeight="1">
      <c r="A258" s="93"/>
      <c r="B258" s="94"/>
      <c r="C258" s="124"/>
      <c r="F258" s="124"/>
      <c r="I258" s="124"/>
      <c r="J258" s="124"/>
      <c r="L258" s="124"/>
    </row>
    <row r="259" spans="1:12" s="128" customFormat="1" ht="15" customHeight="1">
      <c r="A259" s="93"/>
      <c r="B259" s="94"/>
      <c r="C259" s="124"/>
      <c r="F259" s="124"/>
      <c r="I259" s="124"/>
      <c r="J259" s="124"/>
      <c r="L259" s="124"/>
    </row>
    <row r="260" spans="1:12" s="128" customFormat="1" ht="15" customHeight="1">
      <c r="A260" s="93"/>
      <c r="B260" s="94"/>
      <c r="C260" s="124"/>
      <c r="F260" s="124"/>
      <c r="I260" s="124"/>
      <c r="J260" s="124"/>
      <c r="L260" s="124"/>
    </row>
    <row r="261" spans="1:12" s="128" customFormat="1" ht="15" customHeight="1">
      <c r="A261" s="93"/>
      <c r="B261" s="94"/>
      <c r="C261" s="124"/>
      <c r="F261" s="124"/>
      <c r="I261" s="124"/>
      <c r="J261" s="124"/>
      <c r="L261" s="124"/>
    </row>
    <row r="262" spans="1:12" s="128" customFormat="1" ht="15" customHeight="1">
      <c r="A262" s="93"/>
      <c r="B262" s="94"/>
      <c r="C262" s="124"/>
      <c r="F262" s="124"/>
      <c r="I262" s="124"/>
      <c r="J262" s="124"/>
      <c r="L262" s="124"/>
    </row>
    <row r="263" spans="1:12" s="128" customFormat="1" ht="15" customHeight="1">
      <c r="A263" s="93"/>
      <c r="B263" s="94"/>
      <c r="C263" s="124"/>
      <c r="F263" s="124"/>
      <c r="I263" s="124"/>
      <c r="J263" s="124"/>
      <c r="L263" s="124"/>
    </row>
    <row r="264" spans="1:12" s="128" customFormat="1" ht="15" customHeight="1">
      <c r="A264" s="93"/>
      <c r="B264" s="94"/>
      <c r="C264" s="124"/>
      <c r="F264" s="124"/>
      <c r="I264" s="124"/>
      <c r="J264" s="124"/>
      <c r="L264" s="124"/>
    </row>
    <row r="265" spans="1:12" s="128" customFormat="1" ht="15" customHeight="1">
      <c r="A265" s="93"/>
      <c r="B265" s="94"/>
      <c r="C265" s="124"/>
      <c r="F265" s="124"/>
      <c r="I265" s="124"/>
      <c r="J265" s="124"/>
      <c r="L265" s="124"/>
    </row>
    <row r="266" spans="1:12" s="128" customFormat="1" ht="15" customHeight="1">
      <c r="A266" s="93"/>
      <c r="B266" s="94"/>
      <c r="C266" s="124"/>
      <c r="F266" s="124"/>
      <c r="I266" s="124"/>
      <c r="J266" s="124"/>
      <c r="L266" s="124"/>
    </row>
    <row r="267" spans="1:12" s="128" customFormat="1" ht="15" customHeight="1">
      <c r="A267" s="93"/>
      <c r="B267" s="94"/>
      <c r="C267" s="124"/>
      <c r="F267" s="124"/>
      <c r="I267" s="124"/>
      <c r="J267" s="124"/>
      <c r="L267" s="124"/>
    </row>
    <row r="268" spans="1:12" s="128" customFormat="1" ht="15" customHeight="1">
      <c r="A268" s="93"/>
      <c r="B268" s="94"/>
      <c r="C268" s="124"/>
      <c r="F268" s="124"/>
      <c r="I268" s="124"/>
      <c r="J268" s="124"/>
      <c r="L268" s="124"/>
    </row>
    <row r="269" spans="1:12" s="128" customFormat="1" ht="15" customHeight="1">
      <c r="A269" s="93"/>
      <c r="B269" s="94"/>
      <c r="C269" s="124"/>
      <c r="F269" s="124"/>
      <c r="I269" s="124"/>
      <c r="J269" s="124"/>
      <c r="L269" s="124"/>
    </row>
    <row r="270" spans="1:12" s="128" customFormat="1" ht="15" customHeight="1">
      <c r="A270" s="93"/>
      <c r="B270" s="94"/>
      <c r="C270" s="124"/>
      <c r="F270" s="124"/>
      <c r="I270" s="124"/>
      <c r="J270" s="124"/>
      <c r="L270" s="124"/>
    </row>
    <row r="271" spans="1:12" s="128" customFormat="1" ht="15" customHeight="1">
      <c r="A271" s="93"/>
      <c r="B271" s="94"/>
      <c r="C271" s="124"/>
      <c r="F271" s="124"/>
      <c r="I271" s="124"/>
      <c r="J271" s="124"/>
      <c r="L271" s="124"/>
    </row>
    <row r="272" spans="1:12" s="128" customFormat="1" ht="15" customHeight="1">
      <c r="A272" s="93"/>
      <c r="B272" s="94"/>
      <c r="C272" s="124"/>
      <c r="F272" s="124"/>
      <c r="I272" s="124"/>
      <c r="J272" s="124"/>
      <c r="L272" s="124"/>
    </row>
    <row r="273" spans="1:12" s="128" customFormat="1" ht="15" customHeight="1">
      <c r="A273" s="93"/>
      <c r="B273" s="94"/>
      <c r="C273" s="124"/>
      <c r="F273" s="124"/>
      <c r="I273" s="124"/>
      <c r="J273" s="124"/>
      <c r="L273" s="124"/>
    </row>
    <row r="274" spans="1:12" s="128" customFormat="1" ht="15" customHeight="1">
      <c r="A274" s="93"/>
      <c r="B274" s="94"/>
      <c r="C274" s="124"/>
      <c r="F274" s="124"/>
      <c r="I274" s="124"/>
      <c r="J274" s="124"/>
      <c r="L274" s="124"/>
    </row>
    <row r="275" spans="1:12" s="128" customFormat="1" ht="15" customHeight="1">
      <c r="A275" s="93"/>
      <c r="B275" s="94"/>
      <c r="C275" s="124"/>
      <c r="F275" s="124"/>
      <c r="I275" s="124"/>
      <c r="J275" s="124"/>
      <c r="L275" s="124"/>
    </row>
    <row r="276" spans="1:12" s="128" customFormat="1" ht="15" customHeight="1">
      <c r="A276" s="93"/>
      <c r="B276" s="94"/>
      <c r="C276" s="124"/>
      <c r="F276" s="124"/>
      <c r="I276" s="124"/>
      <c r="J276" s="124"/>
      <c r="L276" s="124"/>
    </row>
    <row r="277" spans="1:12" s="128" customFormat="1" ht="15" customHeight="1">
      <c r="A277" s="93"/>
      <c r="B277" s="94"/>
      <c r="C277" s="124"/>
      <c r="F277" s="124"/>
      <c r="I277" s="124"/>
      <c r="J277" s="124"/>
      <c r="L277" s="124"/>
    </row>
    <row r="278" spans="1:12" s="128" customFormat="1" ht="15" customHeight="1">
      <c r="A278" s="93"/>
      <c r="B278" s="94"/>
      <c r="C278" s="124"/>
      <c r="F278" s="124"/>
      <c r="I278" s="124"/>
      <c r="J278" s="124"/>
      <c r="L278" s="124"/>
    </row>
    <row r="279" spans="1:12" s="128" customFormat="1" ht="15" customHeight="1">
      <c r="A279" s="93"/>
      <c r="B279" s="94"/>
      <c r="C279" s="124"/>
      <c r="F279" s="124"/>
      <c r="I279" s="124"/>
      <c r="J279" s="124"/>
      <c r="L279" s="124"/>
    </row>
    <row r="280" spans="1:12" s="128" customFormat="1" ht="15" customHeight="1">
      <c r="A280" s="93"/>
      <c r="B280" s="94"/>
      <c r="C280" s="124"/>
      <c r="F280" s="124"/>
      <c r="I280" s="124"/>
      <c r="J280" s="124"/>
      <c r="L280" s="124"/>
    </row>
    <row r="281" spans="1:12" s="128" customFormat="1" ht="15" customHeight="1">
      <c r="A281" s="93"/>
      <c r="B281" s="94"/>
      <c r="C281" s="124"/>
      <c r="F281" s="124"/>
      <c r="I281" s="124"/>
      <c r="J281" s="124"/>
      <c r="L281" s="124"/>
    </row>
    <row r="282" spans="1:12" s="128" customFormat="1" ht="15" customHeight="1">
      <c r="A282" s="93"/>
      <c r="B282" s="94"/>
      <c r="C282" s="124"/>
      <c r="F282" s="124"/>
      <c r="I282" s="124"/>
      <c r="J282" s="124"/>
      <c r="L282" s="124"/>
    </row>
    <row r="283" spans="1:12" s="128" customFormat="1" ht="15" customHeight="1">
      <c r="A283" s="93"/>
      <c r="B283" s="94"/>
      <c r="C283" s="124"/>
      <c r="F283" s="124"/>
      <c r="I283" s="124"/>
      <c r="J283" s="124"/>
      <c r="L283" s="124"/>
    </row>
    <row r="284" spans="1:12" s="128" customFormat="1" ht="15" customHeight="1">
      <c r="A284" s="93"/>
      <c r="B284" s="94"/>
      <c r="C284" s="124"/>
      <c r="F284" s="124"/>
      <c r="I284" s="124"/>
      <c r="J284" s="124"/>
      <c r="L284" s="124"/>
    </row>
  </sheetData>
  <sheetProtection/>
  <mergeCells count="32">
    <mergeCell ref="B7:K7"/>
    <mergeCell ref="A9:A12"/>
    <mergeCell ref="B9:B12"/>
    <mergeCell ref="C9:E9"/>
    <mergeCell ref="F9:H9"/>
    <mergeCell ref="I9:K9"/>
    <mergeCell ref="D11:D12"/>
    <mergeCell ref="E11:E12"/>
    <mergeCell ref="G11:G12"/>
    <mergeCell ref="H11:H12"/>
    <mergeCell ref="L9:N9"/>
    <mergeCell ref="O9:O12"/>
    <mergeCell ref="C10:C12"/>
    <mergeCell ref="D10:E10"/>
    <mergeCell ref="F10:F12"/>
    <mergeCell ref="G10:H10"/>
    <mergeCell ref="I10:I12"/>
    <mergeCell ref="J10:K10"/>
    <mergeCell ref="L10:L12"/>
    <mergeCell ref="M10:N10"/>
    <mergeCell ref="J11:J12"/>
    <mergeCell ref="K11:K12"/>
    <mergeCell ref="M11:M12"/>
    <mergeCell ref="N11:N12"/>
    <mergeCell ref="B14:O14"/>
    <mergeCell ref="B47:O47"/>
    <mergeCell ref="B54:O54"/>
    <mergeCell ref="B60:O60"/>
    <mergeCell ref="B90:O90"/>
    <mergeCell ref="B114:O114"/>
    <mergeCell ref="B142:O142"/>
    <mergeCell ref="B197:O197"/>
  </mergeCells>
  <printOptions/>
  <pageMargins left="0.1968503937007874" right="0" top="0.8661417322834646" bottom="0.5118110236220472" header="0.31496062992125984" footer="0.31496062992125984"/>
  <pageSetup horizontalDpi="600" verticalDpi="600" orientation="landscape" paperSize="9" scale="83" r:id="rId3"/>
  <legacyDrawing r:id="rId2"/>
</worksheet>
</file>

<file path=xl/worksheets/sheet4.xml><?xml version="1.0" encoding="utf-8"?>
<worksheet xmlns="http://schemas.openxmlformats.org/spreadsheetml/2006/main" xmlns:r="http://schemas.openxmlformats.org/officeDocument/2006/relationships">
  <dimension ref="A1:E57"/>
  <sheetViews>
    <sheetView zoomScalePageLayoutView="0" workbookViewId="0" topLeftCell="A1">
      <selection activeCell="G50" sqref="G50"/>
    </sheetView>
  </sheetViews>
  <sheetFormatPr defaultColWidth="9.140625" defaultRowHeight="12.75"/>
  <cols>
    <col min="1" max="1" width="8.28125" style="8" customWidth="1"/>
    <col min="2" max="2" width="65.7109375" style="7" customWidth="1"/>
    <col min="3" max="3" width="15.8515625" style="7" customWidth="1"/>
    <col min="4" max="4" width="3.7109375" style="7" customWidth="1"/>
    <col min="5" max="16384" width="9.140625" style="7" customWidth="1"/>
  </cols>
  <sheetData>
    <row r="1" spans="1:5" ht="15.75">
      <c r="A1" s="89"/>
      <c r="B1" s="202" t="s">
        <v>397</v>
      </c>
      <c r="C1" s="202"/>
      <c r="D1" s="3"/>
      <c r="E1" s="3"/>
    </row>
    <row r="2" spans="1:5" ht="15.75">
      <c r="A2" s="89"/>
      <c r="B2" s="202" t="s">
        <v>482</v>
      </c>
      <c r="C2" s="202"/>
      <c r="D2" s="3"/>
      <c r="E2" s="3"/>
    </row>
    <row r="3" spans="1:3" ht="15.75">
      <c r="A3" s="30"/>
      <c r="B3" s="9" t="s">
        <v>540</v>
      </c>
      <c r="C3" s="9"/>
    </row>
    <row r="4" spans="1:3" ht="15.75">
      <c r="A4" s="30"/>
      <c r="B4" s="9" t="s">
        <v>517</v>
      </c>
      <c r="C4" s="9"/>
    </row>
    <row r="5" spans="1:5" ht="15.75">
      <c r="A5" s="89"/>
      <c r="B5" s="9" t="s">
        <v>483</v>
      </c>
      <c r="C5" s="10"/>
      <c r="D5" s="3"/>
      <c r="E5" s="3"/>
    </row>
    <row r="6" spans="1:5" ht="15.75">
      <c r="A6" s="89"/>
      <c r="B6" s="10"/>
      <c r="C6" s="10"/>
      <c r="D6" s="3"/>
      <c r="E6" s="3"/>
    </row>
    <row r="7" spans="1:3" ht="14.25">
      <c r="A7" s="89"/>
      <c r="B7" s="50"/>
      <c r="C7" s="50"/>
    </row>
    <row r="8" spans="1:3" ht="15.75">
      <c r="A8" s="203" t="s">
        <v>484</v>
      </c>
      <c r="B8" s="203"/>
      <c r="C8" s="203"/>
    </row>
    <row r="9" spans="1:3" ht="15.75">
      <c r="A9" s="203" t="s">
        <v>485</v>
      </c>
      <c r="B9" s="203"/>
      <c r="C9" s="203"/>
    </row>
    <row r="10" ht="14.25">
      <c r="A10" s="89"/>
    </row>
    <row r="11" ht="14.25">
      <c r="A11" s="89"/>
    </row>
    <row r="12" spans="1:3" ht="15" customHeight="1">
      <c r="A12" s="224" t="s">
        <v>57</v>
      </c>
      <c r="B12" s="224" t="s">
        <v>486</v>
      </c>
      <c r="C12" s="224" t="s">
        <v>487</v>
      </c>
    </row>
    <row r="13" spans="1:3" ht="18.75" customHeight="1">
      <c r="A13" s="225"/>
      <c r="B13" s="225"/>
      <c r="C13" s="225"/>
    </row>
    <row r="14" spans="1:3" ht="19.5" customHeight="1">
      <c r="A14" s="31" t="s">
        <v>70</v>
      </c>
      <c r="B14" s="46" t="s">
        <v>488</v>
      </c>
      <c r="C14" s="32">
        <v>500</v>
      </c>
    </row>
    <row r="15" spans="1:3" ht="19.5" customHeight="1">
      <c r="A15" s="31" t="s">
        <v>69</v>
      </c>
      <c r="B15" s="46" t="s">
        <v>489</v>
      </c>
      <c r="C15" s="32">
        <v>600</v>
      </c>
    </row>
    <row r="16" spans="1:3" ht="19.5" customHeight="1">
      <c r="A16" s="31" t="s">
        <v>71</v>
      </c>
      <c r="B16" s="46" t="s">
        <v>490</v>
      </c>
      <c r="C16" s="32">
        <f>22000+263</f>
        <v>22263</v>
      </c>
    </row>
    <row r="17" spans="1:3" ht="19.5" customHeight="1">
      <c r="A17" s="31" t="s">
        <v>72</v>
      </c>
      <c r="B17" s="46" t="s">
        <v>491</v>
      </c>
      <c r="C17" s="47">
        <v>8000</v>
      </c>
    </row>
    <row r="18" spans="1:3" ht="19.5" customHeight="1">
      <c r="A18" s="31" t="s">
        <v>73</v>
      </c>
      <c r="B18" s="46" t="s">
        <v>492</v>
      </c>
      <c r="C18" s="47">
        <f>24700+105</f>
        <v>24805</v>
      </c>
    </row>
    <row r="19" spans="1:3" ht="19.5" customHeight="1">
      <c r="A19" s="31" t="s">
        <v>74</v>
      </c>
      <c r="B19" s="46" t="s">
        <v>493</v>
      </c>
      <c r="C19" s="47">
        <v>9900</v>
      </c>
    </row>
    <row r="20" spans="1:3" ht="19.5" customHeight="1">
      <c r="A20" s="31" t="s">
        <v>75</v>
      </c>
      <c r="B20" s="48" t="s">
        <v>494</v>
      </c>
      <c r="C20" s="47">
        <v>4200</v>
      </c>
    </row>
    <row r="21" spans="1:3" ht="19.5" customHeight="1">
      <c r="A21" s="31" t="s">
        <v>76</v>
      </c>
      <c r="B21" s="34" t="s">
        <v>495</v>
      </c>
      <c r="C21" s="47">
        <v>8500</v>
      </c>
    </row>
    <row r="22" spans="1:3" ht="19.5" customHeight="1">
      <c r="A22" s="31" t="s">
        <v>77</v>
      </c>
      <c r="B22" s="46" t="s">
        <v>496</v>
      </c>
      <c r="C22" s="47">
        <v>15700</v>
      </c>
    </row>
    <row r="23" spans="1:3" ht="19.5" customHeight="1">
      <c r="A23" s="31" t="s">
        <v>78</v>
      </c>
      <c r="B23" s="46" t="s">
        <v>497</v>
      </c>
      <c r="C23" s="47">
        <f>372800+8600</f>
        <v>381400</v>
      </c>
    </row>
    <row r="24" spans="1:3" ht="19.5" customHeight="1">
      <c r="A24" s="31" t="s">
        <v>79</v>
      </c>
      <c r="B24" s="46" t="s">
        <v>498</v>
      </c>
      <c r="C24" s="32">
        <f>175800+1950</f>
        <v>177750</v>
      </c>
    </row>
    <row r="25" spans="1:3" ht="19.5" customHeight="1">
      <c r="A25" s="31" t="s">
        <v>80</v>
      </c>
      <c r="B25" s="46" t="s">
        <v>499</v>
      </c>
      <c r="C25" s="32">
        <v>248000</v>
      </c>
    </row>
    <row r="26" spans="1:3" ht="19.5" customHeight="1">
      <c r="A26" s="31" t="s">
        <v>500</v>
      </c>
      <c r="B26" s="90" t="s">
        <v>501</v>
      </c>
      <c r="C26" s="32">
        <f>67800+1300</f>
        <v>69100</v>
      </c>
    </row>
    <row r="27" spans="1:3" ht="19.5" customHeight="1">
      <c r="A27" s="31" t="s">
        <v>81</v>
      </c>
      <c r="B27" s="90" t="s">
        <v>502</v>
      </c>
      <c r="C27" s="32">
        <f>44800+850</f>
        <v>45650</v>
      </c>
    </row>
    <row r="28" spans="1:3" ht="19.5" customHeight="1">
      <c r="A28" s="31" t="s">
        <v>117</v>
      </c>
      <c r="B28" s="46" t="s">
        <v>503</v>
      </c>
      <c r="C28" s="34">
        <v>176600</v>
      </c>
    </row>
    <row r="29" spans="1:3" ht="19.5" customHeight="1">
      <c r="A29" s="36" t="s">
        <v>118</v>
      </c>
      <c r="B29" s="37" t="s">
        <v>504</v>
      </c>
      <c r="C29" s="33">
        <f>62900+15700</f>
        <v>78600</v>
      </c>
    </row>
    <row r="30" spans="1:3" ht="19.5" customHeight="1">
      <c r="A30" s="31" t="s">
        <v>119</v>
      </c>
      <c r="B30" s="46" t="s">
        <v>505</v>
      </c>
      <c r="C30" s="32">
        <v>12100</v>
      </c>
    </row>
    <row r="31" spans="1:3" ht="19.5" customHeight="1">
      <c r="A31" s="36" t="s">
        <v>120</v>
      </c>
      <c r="B31" s="37" t="s">
        <v>506</v>
      </c>
      <c r="C31" s="38">
        <f>320600-700</f>
        <v>319900</v>
      </c>
    </row>
    <row r="32" spans="1:3" ht="32.25" customHeight="1">
      <c r="A32" s="31" t="s">
        <v>121</v>
      </c>
      <c r="B32" s="49" t="s">
        <v>507</v>
      </c>
      <c r="C32" s="35">
        <v>141000</v>
      </c>
    </row>
    <row r="33" spans="1:3" ht="19.5" customHeight="1">
      <c r="A33" s="36" t="s">
        <v>163</v>
      </c>
      <c r="B33" s="37" t="s">
        <v>508</v>
      </c>
      <c r="C33" s="38">
        <f>262800+30000</f>
        <v>292800</v>
      </c>
    </row>
    <row r="34" spans="1:3" ht="30.75" customHeight="1">
      <c r="A34" s="36" t="s">
        <v>164</v>
      </c>
      <c r="B34" s="37" t="s">
        <v>509</v>
      </c>
      <c r="C34" s="38">
        <f>1200-1000</f>
        <v>200</v>
      </c>
    </row>
    <row r="35" spans="1:3" ht="23.25" customHeight="1">
      <c r="A35" s="36" t="s">
        <v>510</v>
      </c>
      <c r="B35" s="37" t="s">
        <v>511</v>
      </c>
      <c r="C35" s="38">
        <f>3400-2700</f>
        <v>700</v>
      </c>
    </row>
    <row r="36" spans="1:3" ht="46.5" customHeight="1">
      <c r="A36" s="31" t="s">
        <v>167</v>
      </c>
      <c r="B36" s="46" t="s">
        <v>512</v>
      </c>
      <c r="C36" s="34">
        <f>1048+5700</f>
        <v>6748</v>
      </c>
    </row>
    <row r="37" spans="1:3" ht="19.5" customHeight="1">
      <c r="A37" s="91"/>
      <c r="B37" s="39" t="s">
        <v>513</v>
      </c>
      <c r="C37" s="45">
        <f>SUM(C14:C36)</f>
        <v>2045016</v>
      </c>
    </row>
    <row r="38" spans="1:3" s="5" customFormat="1" ht="15">
      <c r="A38" s="40"/>
      <c r="B38" s="92"/>
      <c r="C38" s="4"/>
    </row>
    <row r="39" spans="1:2" s="4" customFormat="1" ht="15">
      <c r="A39" s="40"/>
      <c r="B39" s="4" t="s">
        <v>514</v>
      </c>
    </row>
    <row r="40" s="4" customFormat="1" ht="15">
      <c r="A40" s="40"/>
    </row>
    <row r="41" s="4" customFormat="1" ht="15">
      <c r="A41" s="40"/>
    </row>
    <row r="42" s="4" customFormat="1" ht="15">
      <c r="A42" s="40"/>
    </row>
    <row r="43" s="4" customFormat="1" ht="15">
      <c r="A43" s="40"/>
    </row>
    <row r="44" s="2" customFormat="1" ht="15.75">
      <c r="A44" s="9"/>
    </row>
    <row r="45" s="3" customFormat="1" ht="15.75">
      <c r="A45" s="9"/>
    </row>
    <row r="46" s="3" customFormat="1" ht="15.75">
      <c r="A46" s="9"/>
    </row>
    <row r="47" spans="1:2" s="2" customFormat="1" ht="15.75">
      <c r="A47" s="9"/>
      <c r="B47" s="41"/>
    </row>
    <row r="48" spans="1:2" s="3" customFormat="1" ht="15.75">
      <c r="A48" s="9"/>
      <c r="B48" s="42"/>
    </row>
    <row r="49" s="3" customFormat="1" ht="15.75">
      <c r="A49" s="9"/>
    </row>
    <row r="50" s="3" customFormat="1" ht="15.75">
      <c r="A50" s="9"/>
    </row>
    <row r="51" s="3" customFormat="1" ht="15.75">
      <c r="A51" s="9"/>
    </row>
    <row r="52" s="3" customFormat="1" ht="15.75">
      <c r="A52" s="9"/>
    </row>
    <row r="53" s="3" customFormat="1" ht="15.75">
      <c r="A53" s="9"/>
    </row>
    <row r="54" s="3" customFormat="1" ht="15.75">
      <c r="A54" s="9"/>
    </row>
    <row r="55" spans="1:2" s="44" customFormat="1" ht="15.75">
      <c r="A55" s="43"/>
      <c r="B55" s="3"/>
    </row>
    <row r="56" s="44" customFormat="1" ht="15">
      <c r="A56" s="43"/>
    </row>
    <row r="57" s="44" customFormat="1" ht="15">
      <c r="A57" s="43"/>
    </row>
  </sheetData>
  <sheetProtection/>
  <mergeCells count="7">
    <mergeCell ref="B1:C1"/>
    <mergeCell ref="B2:C2"/>
    <mergeCell ref="A8:C8"/>
    <mergeCell ref="A9:C9"/>
    <mergeCell ref="A12:A13"/>
    <mergeCell ref="B12:B13"/>
    <mergeCell ref="C12:C13"/>
  </mergeCells>
  <printOptions/>
  <pageMargins left="0.7086614173228347" right="0" top="0.7874015748031497" bottom="0.5905511811023623"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abc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Audrone Stoskiene</cp:lastModifiedBy>
  <cp:lastPrinted>2017-10-16T11:48:00Z</cp:lastPrinted>
  <dcterms:created xsi:type="dcterms:W3CDTF">2001-01-28T19:21:19Z</dcterms:created>
  <dcterms:modified xsi:type="dcterms:W3CDTF">2017-10-24T13:41:31Z</dcterms:modified>
  <cp:category/>
  <cp:version/>
  <cp:contentType/>
  <cp:contentStatus/>
</cp:coreProperties>
</file>