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12" windowWidth="15480" windowHeight="5868" activeTab="1"/>
  </bookViews>
  <sheets>
    <sheet name="1b suvestinė" sheetId="1" r:id="rId1"/>
    <sheet name="Priemonės" sheetId="2" r:id="rId2"/>
  </sheets>
  <definedNames>
    <definedName name="_xlnm.Print_Area" localSheetId="1">'Priemonės'!$A$1:$W$204</definedName>
    <definedName name="_xlnm.Print_Titles" localSheetId="1">'Priemonės'!$8:$10</definedName>
  </definedNames>
  <calcPr fullCalcOnLoad="1"/>
</workbook>
</file>

<file path=xl/comments2.xml><?xml version="1.0" encoding="utf-8"?>
<comments xmlns="http://schemas.openxmlformats.org/spreadsheetml/2006/main">
  <authors>
    <author>Vartotojas</author>
    <author>astoskiene</author>
    <author>Admin</author>
  </authors>
  <commentList>
    <comment ref="O141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3 tūkst. eurų suaugusiųjų neformaliojo švietimo plėtrai </t>
        </r>
      </text>
    </comment>
    <comment ref="O180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30 tūkst. eurų - mokinių dalyvavimui projekte STEAM APC (keliones į Tauragės centra)</t>
        </r>
      </text>
    </comment>
    <comment ref="N1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pagal MK sutartinius mokinius</t>
        </r>
      </text>
    </comment>
    <comment ref="J17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Vytauto Didziojo sporto sale</t>
        </r>
      </text>
    </comment>
    <comment ref="D16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2017-2019 m.
Jurbarko gimnazijos vidaus patalpu atnaujinimas
Meno mokyklos atnaujinimas
Priesmokyklinio ugdymo patalpu Erzvilko gimnazijoje irengimas
Rotulių darželio atnaujinimas</t>
        </r>
      </text>
    </comment>
    <comment ref="O177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10 tūkst. Eurų - tarptautinei stovyklai organizuoti</t>
        </r>
      </text>
    </comment>
    <comment ref="V22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skaičiuojama su naujo (Vadžgirio) skyriaus lėšomis </t>
        </r>
      </text>
    </comment>
    <comment ref="V23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skaičiuojama su naujo  (Vadžgirio) skyriaus lėšomis </t>
        </r>
      </text>
    </comment>
    <comment ref="W28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skaičiuojama su naujo (juodaičių) skyriaus lėšomis </t>
        </r>
      </text>
    </comment>
    <comment ref="W29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skaičiuojama su naujo (juodaičių) skyriaus lėšomis </t>
        </r>
      </text>
    </comment>
  </commentList>
</comments>
</file>

<file path=xl/sharedStrings.xml><?xml version="1.0" encoding="utf-8"?>
<sst xmlns="http://schemas.openxmlformats.org/spreadsheetml/2006/main" count="498" uniqueCount="192">
  <si>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</si>
  <si>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</si>
  <si>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</si>
  <si>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</si>
  <si>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</si>
  <si>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</si>
  <si>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Priemonės vykdytojo kodas</t>
  </si>
  <si>
    <t>Finansavimo šaltinis</t>
  </si>
  <si>
    <t>Iš viso</t>
  </si>
  <si>
    <t>Išlaidoms</t>
  </si>
  <si>
    <t>Iš jų darbo užmokesčiui</t>
  </si>
  <si>
    <t>01</t>
  </si>
  <si>
    <t>09</t>
  </si>
  <si>
    <t>10</t>
  </si>
  <si>
    <t>SB</t>
  </si>
  <si>
    <t>Iš viso:</t>
  </si>
  <si>
    <t>03</t>
  </si>
  <si>
    <t>04</t>
  </si>
  <si>
    <t>05</t>
  </si>
  <si>
    <t>SB(SP)</t>
  </si>
  <si>
    <t>06</t>
  </si>
  <si>
    <t>08</t>
  </si>
  <si>
    <t>07</t>
  </si>
  <si>
    <t>iš viso uždaviniui:</t>
  </si>
  <si>
    <t>02</t>
  </si>
  <si>
    <t>17</t>
  </si>
  <si>
    <t>ES</t>
  </si>
  <si>
    <t>14</t>
  </si>
  <si>
    <t>19</t>
  </si>
  <si>
    <t>Iš viso tikslui:</t>
  </si>
  <si>
    <t xml:space="preserve">Iš viso  programai: </t>
  </si>
  <si>
    <t>Finansavimo šaltiniai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</si>
  <si>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</si>
  <si>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</si>
  <si>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</si>
  <si>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</si>
  <si>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</si>
  <si>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</si>
  <si>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</si>
  <si>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IŠ VISO:</t>
  </si>
  <si>
    <t>11</t>
  </si>
  <si>
    <t>12</t>
  </si>
  <si>
    <t>13</t>
  </si>
  <si>
    <t>Ekonominė klasifikacija</t>
  </si>
  <si>
    <t>1. IŠ VISO: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</si>
  <si>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</si>
  <si>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</si>
  <si>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</si>
  <si>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</si>
  <si>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</si>
  <si>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Finansavimo šaltinių suvestinė</t>
  </si>
  <si>
    <t>15</t>
  </si>
  <si>
    <t>16</t>
  </si>
  <si>
    <t>18</t>
  </si>
  <si>
    <t>20</t>
  </si>
  <si>
    <t>21</t>
  </si>
  <si>
    <t xml:space="preserve"> TIKSLŲ, UŽDAVINIŲ, PRIEMONIŲ IR  IŠLAIDŲ SUVESTINĖ</t>
  </si>
  <si>
    <t>Jurbarko r. Gausantiškių Antano Valaičio pagrindinės mokyklos veiklos organizavimas</t>
  </si>
  <si>
    <t>Jurbarko r. Girdžių pagrindinės mokyklos veiklos organizavimas</t>
  </si>
  <si>
    <t>Jurbarko r. Juodaičių pagrindinės mokyklos veiklos organizavimas</t>
  </si>
  <si>
    <t>Jurbarko r. Klausučių Stasio Santvaro pagrindinės mokyklos veiklos organizavimas</t>
  </si>
  <si>
    <t>Jurbarko r. Raudonės pagrindinės mokyklos veiklos organizavimas</t>
  </si>
  <si>
    <t>Jurbarko r. Skirsnemunės Jurgio Baltrušaičio pagrindinės mokyklos veiklos organizavimas</t>
  </si>
  <si>
    <t>Jurbarko r. Smalininkų Lidijos Meškaitytės pagrindinės mokyklos veiklos organizavimas</t>
  </si>
  <si>
    <t>Jurbarko r. Šimkaičių Jono Žemaičio pagrindinės mokyklos veiklos organizavimas</t>
  </si>
  <si>
    <t>Jurbarko r. Vadžgirio pagrindinės mokyklos veiklos organizavimas</t>
  </si>
  <si>
    <t>Jurbarko r. Viešvilės pagrindinės mokyklos veiklos organizavimas</t>
  </si>
  <si>
    <t>Jurbarko r. Jurbarkų darželio-mokyklos veiklos organizavimas</t>
  </si>
  <si>
    <t>Jurbarko Antano Sodeikos meno mokyklos veiklos organizavimas</t>
  </si>
  <si>
    <t>Jurbarko švietimo centro veiklos organizavimas</t>
  </si>
  <si>
    <t>SB(SPN)</t>
  </si>
  <si>
    <t xml:space="preserve"> Plėtoti mokinių ir jaunimo užimtumo veiklas, vykdyti negatyvios veiklos prevenciją</t>
  </si>
  <si>
    <t>Jaunimo užimtumo ir integracijos į vietos bendruomenės gyvenimą aktyvinimas</t>
  </si>
  <si>
    <t>SB(MK)</t>
  </si>
  <si>
    <r>
      <t xml:space="preserve">Mokinio krepšelio lėšos  </t>
    </r>
    <r>
      <rPr>
        <b/>
        <sz val="9"/>
        <rFont val="Times New Roman"/>
        <family val="1"/>
      </rPr>
      <t>SB(MK)</t>
    </r>
  </si>
  <si>
    <t>1.2. turtui kurti, įsigyti ir finansiniams įsipareigojimams vykdyti</t>
  </si>
  <si>
    <t>turtui kurti, įsigyti ir finansiniams įsipareigojimams vykdyti</t>
  </si>
  <si>
    <t>Jurbarko rajono Eržvilko gimnazijos veiklos organizavimas</t>
  </si>
  <si>
    <t>Mokyklų programų, skirtų ugdymo plano realizavimui ir pažintinei veiklai, finansavimas</t>
  </si>
  <si>
    <r>
      <t>07 Vaikų, jaunimo ir suaugusiųjų ugdymo  programa</t>
    </r>
    <r>
      <rPr>
        <b/>
        <sz val="10"/>
        <rFont val="Times New Roman"/>
        <family val="1"/>
      </rPr>
      <t xml:space="preserve"> </t>
    </r>
  </si>
  <si>
    <t>Asignavimų valdytojo kodas</t>
  </si>
  <si>
    <t>188713933</t>
  </si>
  <si>
    <t>24</t>
  </si>
  <si>
    <t>193013719</t>
  </si>
  <si>
    <t>35</t>
  </si>
  <si>
    <t>36</t>
  </si>
  <si>
    <t>290917890</t>
  </si>
  <si>
    <t>290918120</t>
  </si>
  <si>
    <t>190917932</t>
  </si>
  <si>
    <t>191873296</t>
  </si>
  <si>
    <t>190919036</t>
  </si>
  <si>
    <t>190919374</t>
  </si>
  <si>
    <t>37</t>
  </si>
  <si>
    <t>38</t>
  </si>
  <si>
    <t>39</t>
  </si>
  <si>
    <t>40</t>
  </si>
  <si>
    <t>190918272</t>
  </si>
  <si>
    <t>41</t>
  </si>
  <si>
    <t>42</t>
  </si>
  <si>
    <t>190918315</t>
  </si>
  <si>
    <t>190918468</t>
  </si>
  <si>
    <t>43</t>
  </si>
  <si>
    <t>190918653</t>
  </si>
  <si>
    <t>44</t>
  </si>
  <si>
    <t>190918849</t>
  </si>
  <si>
    <t>45</t>
  </si>
  <si>
    <t>46</t>
  </si>
  <si>
    <t>47</t>
  </si>
  <si>
    <t>48</t>
  </si>
  <si>
    <t>49</t>
  </si>
  <si>
    <t>51</t>
  </si>
  <si>
    <t>53</t>
  </si>
  <si>
    <t>54</t>
  </si>
  <si>
    <t>55</t>
  </si>
  <si>
    <t>190919221</t>
  </si>
  <si>
    <t>190918087</t>
  </si>
  <si>
    <t>190919189</t>
  </si>
  <si>
    <t>190918991</t>
  </si>
  <si>
    <t>190920152</t>
  </si>
  <si>
    <t>190917551</t>
  </si>
  <si>
    <t>190916111</t>
  </si>
  <si>
    <t>190916264</t>
  </si>
  <si>
    <t>190922737</t>
  </si>
  <si>
    <t xml:space="preserve">Programos (Nr. 07)  lėšų  poreikis ir numatomi finansavimo šaltiniai       </t>
  </si>
  <si>
    <t>Jurbarko vaikų lopšelio-darželio „Nykštukas“ veiklos organizavimas</t>
  </si>
  <si>
    <r>
      <t xml:space="preserve">Pajamų už materialiojo turto nuomą lėšos </t>
    </r>
    <r>
      <rPr>
        <b/>
        <sz val="9"/>
        <rFont val="Times New Roman"/>
        <family val="1"/>
      </rPr>
      <t>SB(SPN)</t>
    </r>
  </si>
  <si>
    <t>3.7 priedas</t>
  </si>
  <si>
    <r>
      <t xml:space="preserve">Pajamų už teikiamas  paslaugas lėšos  </t>
    </r>
    <r>
      <rPr>
        <b/>
        <sz val="9"/>
        <rFont val="Times New Roman"/>
        <family val="1"/>
      </rPr>
      <t>SB(SP)</t>
    </r>
  </si>
  <si>
    <t>Jurbarko Vytauto Didžiojo pagrindinės mokyklos veiklos organizavimas</t>
  </si>
  <si>
    <t xml:space="preserve">Jurbarko Naujamiesčio pagrindinės  mokyklos veiklos organizavimas </t>
  </si>
  <si>
    <t>Jurbarko „Ąžuoliuko“ mokyklos veiklos organizavimas</t>
  </si>
  <si>
    <t>SB(VIP)</t>
  </si>
  <si>
    <r>
      <t xml:space="preserve">Valstybės biudžeto specialiosios tikslinės dotacijos lėšos iš valstybės investicijų programos </t>
    </r>
    <r>
      <rPr>
        <b/>
        <sz val="9"/>
        <rFont val="Times New Roman"/>
        <family val="1"/>
      </rPr>
      <t>SB(VIP)</t>
    </r>
  </si>
  <si>
    <t>Jurbarko Antano Giedraičio-Giedriaus gimnazijos veiklos organizavimas</t>
  </si>
  <si>
    <t>tūkst. Eur</t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</si>
  <si>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</si>
  <si>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Valstybės biudžeto specialiosios tikslinės dotacijos lėšos  </t>
    </r>
    <r>
      <rPr>
        <b/>
        <sz val="9"/>
        <rFont val="Times New Roman"/>
        <family val="1"/>
      </rPr>
      <t>SB(VD)</t>
    </r>
  </si>
  <si>
    <r>
      <t xml:space="preserve">2.1.1.Savivaldybės biudžeto lėšos </t>
    </r>
    <r>
      <rPr>
        <b/>
        <sz val="11"/>
        <rFont val="Times New Roman"/>
        <family val="1"/>
      </rPr>
      <t>SB</t>
    </r>
  </si>
  <si>
    <r>
      <t xml:space="preserve">2.1.2. Pajamų už teikiamas paslaugas lėšos </t>
    </r>
    <r>
      <rPr>
        <b/>
        <sz val="11"/>
        <rFont val="Times New Roman"/>
        <family val="1"/>
      </rPr>
      <t>SB(SP)</t>
    </r>
  </si>
  <si>
    <r>
      <t xml:space="preserve">2.1.3. Pajamų už materialiojo turto nuomą lėšos </t>
    </r>
    <r>
      <rPr>
        <b/>
        <sz val="11"/>
        <rFont val="Times New Roman"/>
        <family val="1"/>
      </rPr>
      <t>SB(SPN)</t>
    </r>
  </si>
  <si>
    <r>
      <t xml:space="preserve">2.1.4.Valstybės biudžeto specialiosios tikslinės dotacijos lėšos </t>
    </r>
    <r>
      <rPr>
        <b/>
        <sz val="11"/>
        <rFont val="Times New Roman"/>
        <family val="1"/>
      </rPr>
      <t xml:space="preserve"> SB(VD)</t>
    </r>
  </si>
  <si>
    <r>
      <t xml:space="preserve">2.1.5.Valstybės biudžeto specialiosios tikslinės dotacijos lėšos mokinio krepšeliui finansuoti </t>
    </r>
    <r>
      <rPr>
        <b/>
        <sz val="11"/>
        <rFont val="Times New Roman"/>
        <family val="1"/>
      </rPr>
      <t>SB(MK)</t>
    </r>
  </si>
  <si>
    <r>
      <t xml:space="preserve">2.1.6. Valstybės investicijų programos lėšos  </t>
    </r>
    <r>
      <rPr>
        <b/>
        <sz val="11"/>
        <rFont val="Times New Roman"/>
        <family val="1"/>
      </rPr>
      <t>SB(VIP)</t>
    </r>
  </si>
  <si>
    <r>
      <t xml:space="preserve">2.2.1.  Savivaldybės aplinkos apsaugos rėmimo specialiosios programos lėšos </t>
    </r>
    <r>
      <rPr>
        <b/>
        <sz val="11"/>
        <rFont val="Times New Roman"/>
        <family val="1"/>
      </rPr>
      <t>SB(AA)</t>
    </r>
  </si>
  <si>
    <r>
      <t>2.2.2. Savivaldybės privatizavimo fondo lėšos</t>
    </r>
    <r>
      <rPr>
        <b/>
        <sz val="11"/>
        <rFont val="Times New Roman"/>
        <family val="1"/>
      </rPr>
      <t xml:space="preserve"> PF</t>
    </r>
  </si>
  <si>
    <r>
      <t xml:space="preserve">2.2.3.Europos Sąjungos paramos lėšos </t>
    </r>
    <r>
      <rPr>
        <b/>
        <sz val="11"/>
        <rFont val="Times New Roman"/>
        <family val="1"/>
      </rPr>
      <t>ES</t>
    </r>
  </si>
  <si>
    <r>
      <t xml:space="preserve">2.2.4.Kelių priežiūros ir plėtros programos lėšos </t>
    </r>
    <r>
      <rPr>
        <b/>
        <sz val="11"/>
        <rFont val="Times New Roman"/>
        <family val="1"/>
      </rPr>
      <t>KPP</t>
    </r>
  </si>
  <si>
    <r>
      <t xml:space="preserve">2.2.5.Valstybės biudžeto lėšos  </t>
    </r>
    <r>
      <rPr>
        <b/>
        <sz val="11"/>
        <rFont val="Times New Roman"/>
        <family val="1"/>
      </rPr>
      <t>L</t>
    </r>
    <r>
      <rPr>
        <b/>
        <sz val="11"/>
        <rFont val="Times New Roman"/>
        <family val="1"/>
      </rPr>
      <t xml:space="preserve">RVB </t>
    </r>
  </si>
  <si>
    <r>
      <t xml:space="preserve">2.2.6.Paskolos lėšos </t>
    </r>
    <r>
      <rPr>
        <b/>
        <sz val="11"/>
        <rFont val="Times New Roman"/>
        <family val="1"/>
      </rPr>
      <t>SB(P)</t>
    </r>
  </si>
  <si>
    <r>
      <t xml:space="preserve">2.2.7.Kiti finansavimo šaltiniai </t>
    </r>
    <r>
      <rPr>
        <b/>
        <sz val="11"/>
        <rFont val="Times New Roman"/>
        <family val="1"/>
      </rPr>
      <t>KT</t>
    </r>
  </si>
  <si>
    <t>SB(VD)</t>
  </si>
  <si>
    <t>Švietimo įstaigų pastatų renovacija didinant jų energetinį efektyvumą ir pritaikymas mokyklų bendruomenės poreikiams</t>
  </si>
  <si>
    <t>SB(P)</t>
  </si>
  <si>
    <t>KT</t>
  </si>
  <si>
    <t>Mokinių socializacijos, negatyvios veiklos prevencijos, bendradarbia-vimo, sveikos gyvensenos ir kitų programų finansavimas</t>
  </si>
  <si>
    <r>
      <t xml:space="preserve">Paskolos lėšos </t>
    </r>
    <r>
      <rPr>
        <b/>
        <sz val="9"/>
        <rFont val="Times New Roman"/>
        <family val="1"/>
      </rPr>
      <t>SB(P)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</si>
  <si>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</si>
  <si>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02 strateginis tikslas. Kurti efektyvią švietimo sistemą, užtikrinti vaikų ir jaunimo užimtumą</t>
  </si>
  <si>
    <t>Užtikrinti kokybiškų švietimo paslaugų prieinamumą bei didinti vaikų ir jaunimo užimtumą</t>
  </si>
  <si>
    <t>Teikti  švietimo įstaigas aptarnaujančias paslaugas</t>
  </si>
  <si>
    <t>Sudaryti tinkamas ugdymo paslaugų teikimo sąlygas</t>
  </si>
  <si>
    <t>Vykdyti ugdymo procesą pagal ikimokyklinio, priešmokyklinio, bendrojo ugdymo bei neformaliojo švietimo programas rajono švietimo įstaigose</t>
  </si>
  <si>
    <t>Jurbarko r. Seredžiaus Stasio Šimkaus mokyklos-daugiafunkcio centro veiklos organizavimas</t>
  </si>
  <si>
    <t>Švietimo įstaigų inventoriaus, mokymo priemonių  ir ilgalaikio turto įsigijimas</t>
  </si>
  <si>
    <t>LRVB</t>
  </si>
  <si>
    <r>
      <t xml:space="preserve">2.2.5.Valstybės biudžeto lėšos  </t>
    </r>
    <r>
      <rPr>
        <b/>
        <sz val="11"/>
        <rFont val="Times New Roman"/>
        <family val="1"/>
      </rPr>
      <t>LRVB</t>
    </r>
    <r>
      <rPr>
        <sz val="11"/>
        <rFont val="Times New Roman"/>
        <family val="1"/>
      </rPr>
      <t xml:space="preserve"> </t>
    </r>
  </si>
  <si>
    <t>2019 m. projektas</t>
  </si>
  <si>
    <t>Asignavimai 2017 m.</t>
  </si>
  <si>
    <t>Projektas 2019 m.</t>
  </si>
  <si>
    <t>Švietimo įstaigų sporto bazės (salių ir stadionų) renovacija (remontas)</t>
  </si>
  <si>
    <t xml:space="preserve">Mokinių kelionių iš namų į mokyklą, papildomo ugdymo užsiėmimus, renginius ir atgal išlaidų kompensavimas </t>
  </si>
  <si>
    <t>Švietimo  įstaigų pastatų ir patalpų sauga, remontas, avarinių situacijų likvidavimas</t>
  </si>
  <si>
    <t>Jurbarko rajono savivaldybės administracijai (mokinio krepšelio lėšų rezervas, neformalaus vaikų švietimo lėšos)</t>
  </si>
  <si>
    <t>Jurbarko r. Veliuonos Antano ir Jono Juškų gimnazijos veiklos organizavimas</t>
  </si>
  <si>
    <t>Švietimo įstaigų pastatų vidaus ir išorės modernizavimas ir pritaikymas ugdymo poreikiams</t>
  </si>
  <si>
    <t>Švietimo įstaigų išorinės aplinkos infrastruktūros  ir edukacinių erdvių kūrimas</t>
  </si>
  <si>
    <t xml:space="preserve">2017 m. asignavimai su pakei-timais (2017-02-23 Nr.T2-18)            </t>
  </si>
  <si>
    <t>2018 m. poreikis</t>
  </si>
  <si>
    <t>2020 m. projektas</t>
  </si>
  <si>
    <t>Poreikis 2018 m.</t>
  </si>
  <si>
    <t>2018 m.  asignavimai</t>
  </si>
  <si>
    <t>Projektas 2020 m.</t>
  </si>
  <si>
    <t>Asignavimai   2017 m.</t>
  </si>
  <si>
    <t>Asignavimai 2018 m.</t>
  </si>
  <si>
    <t xml:space="preserve">2018 m. asignavimai                    (2018-02-22    Nr.T2-      )            </t>
  </si>
  <si>
    <t>50</t>
  </si>
  <si>
    <t>52</t>
  </si>
  <si>
    <t>1</t>
  </si>
  <si>
    <t>28</t>
  </si>
  <si>
    <r>
      <t xml:space="preserve">2017–2020 METŲ JURBARKO RAJONO SAVIVALDYBĖS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
VAIKŲ, JAUNIMO IR SUAUGUSIŲJŲ UGDYMO PROGRAMOS (Nr. 07)
</t>
    </r>
    <r>
      <rPr>
        <b/>
        <sz val="12"/>
        <rFont val="Times New Roman"/>
        <family val="1"/>
      </rPr>
      <t xml:space="preserve">
</t>
    </r>
  </si>
  <si>
    <t>Jurbarko rajono savivaldybės tarybos</t>
  </si>
  <si>
    <t>2018 m. vasario 22 d. sprendimo Nr. T2-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</si>
</sst>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€-2]\ ###,000_);[Red]\([$€-2]\ ###,000\)"/>
    <numFmt numFmtId="190" formatCode="&quot;Taip&quot;;&quot;Taip&quot;;&quot;Ne&quot;"/>
    <numFmt numFmtId="191" formatCode="&quot;Teisinga&quot;;&quot;Teisinga&quot;;&quot;Klaidinga&quot;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7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88" fontId="5" fillId="0" borderId="13" xfId="0" applyNumberFormat="1" applyFont="1" applyBorder="1" applyAlignment="1">
      <alignment horizontal="center" vertical="top"/>
    </xf>
    <xf numFmtId="188" fontId="5" fillId="0" borderId="14" xfId="0" applyNumberFormat="1" applyFont="1" applyBorder="1" applyAlignment="1">
      <alignment horizontal="center" vertical="top"/>
    </xf>
    <xf numFmtId="188" fontId="5" fillId="0" borderId="15" xfId="0" applyNumberFormat="1" applyFont="1" applyBorder="1" applyAlignment="1">
      <alignment horizontal="center" vertical="top"/>
    </xf>
    <xf numFmtId="188" fontId="5" fillId="0" borderId="16" xfId="0" applyNumberFormat="1" applyFont="1" applyFill="1" applyBorder="1" applyAlignment="1">
      <alignment horizontal="center" vertical="top"/>
    </xf>
    <xf numFmtId="188" fontId="5" fillId="0" borderId="17" xfId="0" applyNumberFormat="1" applyFont="1" applyFill="1" applyBorder="1" applyAlignment="1">
      <alignment horizontal="center" vertical="top"/>
    </xf>
    <xf numFmtId="188" fontId="5" fillId="0" borderId="18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188" fontId="1" fillId="0" borderId="0" xfId="0" applyNumberFormat="1" applyFont="1" applyBorder="1" applyAlignment="1">
      <alignment vertical="top"/>
    </xf>
    <xf numFmtId="188" fontId="1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vertical="top"/>
    </xf>
    <xf numFmtId="0" fontId="10" fillId="0" borderId="0" xfId="0" applyFont="1" applyBorder="1" applyAlignment="1">
      <alignment/>
    </xf>
    <xf numFmtId="0" fontId="9" fillId="0" borderId="0" xfId="0" applyFont="1" applyAlignment="1">
      <alignment vertical="top"/>
    </xf>
    <xf numFmtId="188" fontId="9" fillId="0" borderId="17" xfId="0" applyNumberFormat="1" applyFont="1" applyBorder="1" applyAlignment="1">
      <alignment vertical="top" wrapText="1"/>
    </xf>
    <xf numFmtId="188" fontId="9" fillId="0" borderId="1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88" fontId="9" fillId="0" borderId="25" xfId="0" applyNumberFormat="1" applyFont="1" applyBorder="1" applyAlignment="1">
      <alignment vertical="top" wrapText="1"/>
    </xf>
    <xf numFmtId="188" fontId="9" fillId="0" borderId="26" xfId="0" applyNumberFormat="1" applyFont="1" applyBorder="1" applyAlignment="1">
      <alignment vertical="top" wrapText="1"/>
    </xf>
    <xf numFmtId="188" fontId="5" fillId="0" borderId="27" xfId="0" applyNumberFormat="1" applyFont="1" applyBorder="1" applyAlignment="1">
      <alignment horizontal="center" vertical="top"/>
    </xf>
    <xf numFmtId="188" fontId="5" fillId="0" borderId="28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0" fontId="11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right" vertical="top"/>
    </xf>
    <xf numFmtId="188" fontId="5" fillId="0" borderId="29" xfId="0" applyNumberFormat="1" applyFont="1" applyBorder="1" applyAlignment="1">
      <alignment horizontal="center" vertical="top"/>
    </xf>
    <xf numFmtId="188" fontId="5" fillId="0" borderId="30" xfId="0" applyNumberFormat="1" applyFont="1" applyBorder="1" applyAlignment="1">
      <alignment horizontal="center" vertical="top"/>
    </xf>
    <xf numFmtId="188" fontId="5" fillId="0" borderId="31" xfId="0" applyNumberFormat="1" applyFont="1" applyBorder="1" applyAlignment="1">
      <alignment horizontal="center" vertical="top"/>
    </xf>
    <xf numFmtId="188" fontId="5" fillId="0" borderId="32" xfId="0" applyNumberFormat="1" applyFont="1" applyFill="1" applyBorder="1" applyAlignment="1">
      <alignment horizontal="center" vertical="top"/>
    </xf>
    <xf numFmtId="188" fontId="5" fillId="0" borderId="13" xfId="0" applyNumberFormat="1" applyFont="1" applyFill="1" applyBorder="1" applyAlignment="1">
      <alignment horizontal="center" vertical="top"/>
    </xf>
    <xf numFmtId="188" fontId="5" fillId="0" borderId="14" xfId="0" applyNumberFormat="1" applyFont="1" applyFill="1" applyBorder="1" applyAlignment="1">
      <alignment horizontal="center" vertical="top"/>
    </xf>
    <xf numFmtId="188" fontId="5" fillId="0" borderId="27" xfId="0" applyNumberFormat="1" applyFont="1" applyFill="1" applyBorder="1" applyAlignment="1">
      <alignment horizontal="center" vertical="top"/>
    </xf>
    <xf numFmtId="188" fontId="3" fillId="34" borderId="10" xfId="0" applyNumberFormat="1" applyFont="1" applyFill="1" applyBorder="1" applyAlignment="1">
      <alignment horizontal="center" vertical="top"/>
    </xf>
    <xf numFmtId="188" fontId="3" fillId="34" borderId="33" xfId="0" applyNumberFormat="1" applyFont="1" applyFill="1" applyBorder="1" applyAlignment="1">
      <alignment horizontal="center" vertical="top"/>
    </xf>
    <xf numFmtId="188" fontId="5" fillId="0" borderId="34" xfId="0" applyNumberFormat="1" applyFont="1" applyBorder="1" applyAlignment="1">
      <alignment horizontal="center" vertical="top"/>
    </xf>
    <xf numFmtId="188" fontId="3" fillId="33" borderId="10" xfId="0" applyNumberFormat="1" applyFont="1" applyFill="1" applyBorder="1" applyAlignment="1">
      <alignment horizontal="center" vertical="top"/>
    </xf>
    <xf numFmtId="188" fontId="3" fillId="33" borderId="33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88" fontId="1" fillId="0" borderId="0" xfId="0" applyNumberFormat="1" applyFont="1" applyFill="1" applyBorder="1" applyAlignment="1">
      <alignment vertical="top"/>
    </xf>
    <xf numFmtId="188" fontId="5" fillId="0" borderId="17" xfId="0" applyNumberFormat="1" applyFont="1" applyBorder="1" applyAlignment="1">
      <alignment horizontal="center" vertical="top" wrapText="1"/>
    </xf>
    <xf numFmtId="188" fontId="5" fillId="0" borderId="15" xfId="0" applyNumberFormat="1" applyFont="1" applyFill="1" applyBorder="1" applyAlignment="1">
      <alignment horizontal="center" vertical="top"/>
    </xf>
    <xf numFmtId="188" fontId="5" fillId="0" borderId="35" xfId="0" applyNumberFormat="1" applyFont="1" applyFill="1" applyBorder="1" applyAlignment="1">
      <alignment horizontal="center" vertical="top"/>
    </xf>
    <xf numFmtId="188" fontId="1" fillId="0" borderId="0" xfId="0" applyNumberFormat="1" applyFont="1" applyBorder="1" applyAlignment="1">
      <alignment horizontal="left" vertical="top"/>
    </xf>
    <xf numFmtId="188" fontId="1" fillId="0" borderId="0" xfId="0" applyNumberFormat="1" applyFont="1" applyFill="1" applyBorder="1" applyAlignment="1">
      <alignment horizontal="center" vertical="top"/>
    </xf>
    <xf numFmtId="188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" fillId="33" borderId="36" xfId="0" applyNumberFormat="1" applyFont="1" applyFill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/>
    </xf>
    <xf numFmtId="188" fontId="5" fillId="0" borderId="37" xfId="0" applyNumberFormat="1" applyFont="1" applyFill="1" applyBorder="1" applyAlignment="1">
      <alignment horizontal="center" vertical="top"/>
    </xf>
    <xf numFmtId="188" fontId="5" fillId="0" borderId="38" xfId="0" applyNumberFormat="1" applyFont="1" applyFill="1" applyBorder="1" applyAlignment="1">
      <alignment horizontal="center" vertical="top"/>
    </xf>
    <xf numFmtId="188" fontId="5" fillId="0" borderId="39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88" fontId="5" fillId="0" borderId="0" xfId="0" applyNumberFormat="1" applyFont="1" applyAlignment="1">
      <alignment vertical="top"/>
    </xf>
    <xf numFmtId="188" fontId="3" fillId="33" borderId="19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188" fontId="3" fillId="34" borderId="40" xfId="0" applyNumberFormat="1" applyFont="1" applyFill="1" applyBorder="1" applyAlignment="1">
      <alignment horizontal="center" vertical="top"/>
    </xf>
    <xf numFmtId="188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188" fontId="6" fillId="0" borderId="0" xfId="0" applyNumberFormat="1" applyFont="1" applyAlignment="1">
      <alignment horizontal="center" vertical="top"/>
    </xf>
    <xf numFmtId="188" fontId="6" fillId="0" borderId="0" xfId="0" applyNumberFormat="1" applyFont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25" xfId="0" applyFont="1" applyFill="1" applyBorder="1" applyAlignment="1">
      <alignment horizontal="center" vertical="top" textRotation="90" wrapText="1"/>
    </xf>
    <xf numFmtId="188" fontId="5" fillId="0" borderId="30" xfId="0" applyNumberFormat="1" applyFont="1" applyFill="1" applyBorder="1" applyAlignment="1">
      <alignment horizontal="center" vertical="top"/>
    </xf>
    <xf numFmtId="188" fontId="5" fillId="0" borderId="34" xfId="0" applyNumberFormat="1" applyFont="1" applyFill="1" applyBorder="1" applyAlignment="1">
      <alignment horizontal="center" vertical="top"/>
    </xf>
    <xf numFmtId="188" fontId="3" fillId="36" borderId="11" xfId="0" applyNumberFormat="1" applyFont="1" applyFill="1" applyBorder="1" applyAlignment="1">
      <alignment horizontal="center" vertical="top"/>
    </xf>
    <xf numFmtId="188" fontId="3" fillId="36" borderId="41" xfId="0" applyNumberFormat="1" applyFont="1" applyFill="1" applyBorder="1" applyAlignment="1">
      <alignment horizontal="center" vertical="top"/>
    </xf>
    <xf numFmtId="188" fontId="3" fillId="36" borderId="12" xfId="0" applyNumberFormat="1" applyFont="1" applyFill="1" applyBorder="1" applyAlignment="1">
      <alignment horizontal="center" vertical="top"/>
    </xf>
    <xf numFmtId="188" fontId="3" fillId="36" borderId="42" xfId="0" applyNumberFormat="1" applyFont="1" applyFill="1" applyBorder="1" applyAlignment="1">
      <alignment horizontal="center" vertical="top"/>
    </xf>
    <xf numFmtId="0" fontId="8" fillId="36" borderId="23" xfId="0" applyFont="1" applyFill="1" applyBorder="1" applyAlignment="1">
      <alignment vertical="top" wrapText="1"/>
    </xf>
    <xf numFmtId="188" fontId="8" fillId="36" borderId="17" xfId="0" applyNumberFormat="1" applyFont="1" applyFill="1" applyBorder="1" applyAlignment="1">
      <alignment vertical="top" wrapText="1"/>
    </xf>
    <xf numFmtId="49" fontId="3" fillId="36" borderId="36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textRotation="90" wrapText="1"/>
    </xf>
    <xf numFmtId="188" fontId="5" fillId="0" borderId="15" xfId="0" applyNumberFormat="1" applyFont="1" applyFill="1" applyBorder="1" applyAlignment="1">
      <alignment horizontal="center" vertical="top"/>
    </xf>
    <xf numFmtId="188" fontId="5" fillId="0" borderId="18" xfId="0" applyNumberFormat="1" applyFont="1" applyFill="1" applyBorder="1" applyAlignment="1">
      <alignment horizontal="center" vertical="top"/>
    </xf>
    <xf numFmtId="188" fontId="5" fillId="0" borderId="43" xfId="0" applyNumberFormat="1" applyFont="1" applyFill="1" applyBorder="1" applyAlignment="1">
      <alignment horizontal="center" vertical="top"/>
    </xf>
    <xf numFmtId="188" fontId="5" fillId="0" borderId="38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vertical="top" textRotation="90" wrapText="1"/>
    </xf>
    <xf numFmtId="0" fontId="8" fillId="37" borderId="23" xfId="0" applyFont="1" applyFill="1" applyBorder="1" applyAlignment="1">
      <alignment vertical="top" wrapText="1"/>
    </xf>
    <xf numFmtId="188" fontId="8" fillId="37" borderId="17" xfId="0" applyNumberFormat="1" applyFont="1" applyFill="1" applyBorder="1" applyAlignment="1">
      <alignment vertical="top" wrapText="1"/>
    </xf>
    <xf numFmtId="188" fontId="8" fillId="37" borderId="18" xfId="0" applyNumberFormat="1" applyFont="1" applyFill="1" applyBorder="1" applyAlignment="1">
      <alignment vertical="top" wrapText="1"/>
    </xf>
    <xf numFmtId="188" fontId="9" fillId="37" borderId="17" xfId="0" applyNumberFormat="1" applyFont="1" applyFill="1" applyBorder="1" applyAlignment="1">
      <alignment vertical="top" wrapText="1"/>
    </xf>
    <xf numFmtId="188" fontId="9" fillId="37" borderId="25" xfId="0" applyNumberFormat="1" applyFont="1" applyFill="1" applyBorder="1" applyAlignment="1">
      <alignment vertical="top" wrapText="1"/>
    </xf>
    <xf numFmtId="0" fontId="6" fillId="37" borderId="44" xfId="0" applyFont="1" applyFill="1" applyBorder="1" applyAlignment="1">
      <alignment horizontal="center" vertical="top"/>
    </xf>
    <xf numFmtId="188" fontId="3" fillId="37" borderId="45" xfId="0" applyNumberFormat="1" applyFont="1" applyFill="1" applyBorder="1" applyAlignment="1">
      <alignment horizontal="center" vertical="top"/>
    </xf>
    <xf numFmtId="188" fontId="3" fillId="37" borderId="25" xfId="0" applyNumberFormat="1" applyFont="1" applyFill="1" applyBorder="1" applyAlignment="1">
      <alignment horizontal="center" vertical="top"/>
    </xf>
    <xf numFmtId="188" fontId="3" fillId="37" borderId="26" xfId="0" applyNumberFormat="1" applyFont="1" applyFill="1" applyBorder="1" applyAlignment="1">
      <alignment horizontal="center" vertical="top"/>
    </xf>
    <xf numFmtId="188" fontId="3" fillId="37" borderId="46" xfId="0" applyNumberFormat="1" applyFont="1" applyFill="1" applyBorder="1" applyAlignment="1">
      <alignment horizontal="center" vertical="top"/>
    </xf>
    <xf numFmtId="188" fontId="3" fillId="37" borderId="47" xfId="0" applyNumberFormat="1" applyFont="1" applyFill="1" applyBorder="1" applyAlignment="1">
      <alignment horizontal="center" vertical="top"/>
    </xf>
    <xf numFmtId="0" fontId="6" fillId="37" borderId="48" xfId="0" applyFont="1" applyFill="1" applyBorder="1" applyAlignment="1">
      <alignment horizontal="center" vertical="top"/>
    </xf>
    <xf numFmtId="188" fontId="5" fillId="37" borderId="13" xfId="0" applyNumberFormat="1" applyFont="1" applyFill="1" applyBorder="1" applyAlignment="1">
      <alignment horizontal="center" vertical="top"/>
    </xf>
    <xf numFmtId="188" fontId="5" fillId="37" borderId="14" xfId="0" applyNumberFormat="1" applyFont="1" applyFill="1" applyBorder="1" applyAlignment="1">
      <alignment horizontal="center" vertical="top"/>
    </xf>
    <xf numFmtId="188" fontId="5" fillId="37" borderId="15" xfId="0" applyNumberFormat="1" applyFont="1" applyFill="1" applyBorder="1" applyAlignment="1">
      <alignment horizontal="center" vertical="top"/>
    </xf>
    <xf numFmtId="188" fontId="5" fillId="37" borderId="16" xfId="0" applyNumberFormat="1" applyFont="1" applyFill="1" applyBorder="1" applyAlignment="1">
      <alignment horizontal="center" vertical="top"/>
    </xf>
    <xf numFmtId="188" fontId="5" fillId="37" borderId="17" xfId="0" applyNumberFormat="1" applyFont="1" applyFill="1" applyBorder="1" applyAlignment="1">
      <alignment horizontal="center" vertical="top"/>
    </xf>
    <xf numFmtId="188" fontId="5" fillId="37" borderId="18" xfId="0" applyNumberFormat="1" applyFont="1" applyFill="1" applyBorder="1" applyAlignment="1">
      <alignment horizontal="center" vertical="top"/>
    </xf>
    <xf numFmtId="188" fontId="5" fillId="37" borderId="37" xfId="0" applyNumberFormat="1" applyFont="1" applyFill="1" applyBorder="1" applyAlignment="1">
      <alignment horizontal="center" vertical="top"/>
    </xf>
    <xf numFmtId="188" fontId="5" fillId="37" borderId="38" xfId="0" applyNumberFormat="1" applyFont="1" applyFill="1" applyBorder="1" applyAlignment="1">
      <alignment horizontal="center" vertical="top"/>
    </xf>
    <xf numFmtId="0" fontId="6" fillId="37" borderId="24" xfId="0" applyFont="1" applyFill="1" applyBorder="1" applyAlignment="1">
      <alignment horizontal="center" vertical="top"/>
    </xf>
    <xf numFmtId="188" fontId="3" fillId="37" borderId="43" xfId="0" applyNumberFormat="1" applyFont="1" applyFill="1" applyBorder="1" applyAlignment="1">
      <alignment horizontal="center" vertical="top"/>
    </xf>
    <xf numFmtId="188" fontId="3" fillId="37" borderId="37" xfId="0" applyNumberFormat="1" applyFont="1" applyFill="1" applyBorder="1" applyAlignment="1">
      <alignment horizontal="center" vertical="top"/>
    </xf>
    <xf numFmtId="188" fontId="3" fillId="37" borderId="38" xfId="0" applyNumberFormat="1" applyFont="1" applyFill="1" applyBorder="1" applyAlignment="1">
      <alignment horizontal="center" vertical="top"/>
    </xf>
    <xf numFmtId="188" fontId="5" fillId="37" borderId="43" xfId="0" applyNumberFormat="1" applyFont="1" applyFill="1" applyBorder="1" applyAlignment="1">
      <alignment horizontal="center" vertical="top"/>
    </xf>
    <xf numFmtId="188" fontId="5" fillId="37" borderId="27" xfId="0" applyNumberFormat="1" applyFont="1" applyFill="1" applyBorder="1" applyAlignment="1">
      <alignment horizontal="center" vertical="top"/>
    </xf>
    <xf numFmtId="0" fontId="6" fillId="37" borderId="49" xfId="0" applyFont="1" applyFill="1" applyBorder="1" applyAlignment="1">
      <alignment horizontal="center" vertical="top"/>
    </xf>
    <xf numFmtId="188" fontId="5" fillId="37" borderId="29" xfId="0" applyNumberFormat="1" applyFont="1" applyFill="1" applyBorder="1" applyAlignment="1">
      <alignment horizontal="center" vertical="top"/>
    </xf>
    <xf numFmtId="188" fontId="5" fillId="37" borderId="30" xfId="0" applyNumberFormat="1" applyFont="1" applyFill="1" applyBorder="1" applyAlignment="1">
      <alignment horizontal="center" vertical="top"/>
    </xf>
    <xf numFmtId="188" fontId="5" fillId="37" borderId="31" xfId="0" applyNumberFormat="1" applyFont="1" applyFill="1" applyBorder="1" applyAlignment="1">
      <alignment horizontal="center" vertical="top"/>
    </xf>
    <xf numFmtId="188" fontId="5" fillId="37" borderId="34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vertical="top" wrapText="1"/>
    </xf>
    <xf numFmtId="188" fontId="5" fillId="37" borderId="27" xfId="0" applyNumberFormat="1" applyFont="1" applyFill="1" applyBorder="1" applyAlignment="1">
      <alignment horizontal="center" vertical="top"/>
    </xf>
    <xf numFmtId="188" fontId="5" fillId="37" borderId="28" xfId="0" applyNumberFormat="1" applyFont="1" applyFill="1" applyBorder="1" applyAlignment="1">
      <alignment horizontal="center" vertical="top"/>
    </xf>
    <xf numFmtId="188" fontId="5" fillId="37" borderId="39" xfId="0" applyNumberFormat="1" applyFont="1" applyFill="1" applyBorder="1" applyAlignment="1">
      <alignment horizontal="center" vertical="top"/>
    </xf>
    <xf numFmtId="188" fontId="60" fillId="0" borderId="32" xfId="0" applyNumberFormat="1" applyFont="1" applyFill="1" applyBorder="1" applyAlignment="1">
      <alignment horizontal="center" vertical="top"/>
    </xf>
    <xf numFmtId="188" fontId="60" fillId="0" borderId="17" xfId="0" applyNumberFormat="1" applyFont="1" applyFill="1" applyBorder="1" applyAlignment="1">
      <alignment horizontal="center" vertical="top"/>
    </xf>
    <xf numFmtId="188" fontId="60" fillId="0" borderId="28" xfId="0" applyNumberFormat="1" applyFont="1" applyFill="1" applyBorder="1" applyAlignment="1">
      <alignment horizontal="center" vertical="top"/>
    </xf>
    <xf numFmtId="188" fontId="60" fillId="37" borderId="16" xfId="0" applyNumberFormat="1" applyFont="1" applyFill="1" applyBorder="1" applyAlignment="1">
      <alignment horizontal="center" vertical="top"/>
    </xf>
    <xf numFmtId="188" fontId="60" fillId="37" borderId="17" xfId="0" applyNumberFormat="1" applyFont="1" applyFill="1" applyBorder="1" applyAlignment="1">
      <alignment horizontal="center" vertical="top"/>
    </xf>
    <xf numFmtId="188" fontId="60" fillId="37" borderId="28" xfId="0" applyNumberFormat="1" applyFont="1" applyFill="1" applyBorder="1" applyAlignment="1">
      <alignment horizontal="center" vertical="top"/>
    </xf>
    <xf numFmtId="188" fontId="61" fillId="0" borderId="21" xfId="0" applyNumberFormat="1" applyFont="1" applyFill="1" applyBorder="1" applyAlignment="1">
      <alignment horizontal="center" vertical="top"/>
    </xf>
    <xf numFmtId="0" fontId="9" fillId="0" borderId="23" xfId="0" applyFont="1" applyBorder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188" fontId="5" fillId="0" borderId="35" xfId="0" applyNumberFormat="1" applyFont="1" applyBorder="1" applyAlignment="1">
      <alignment horizontal="center" vertical="top"/>
    </xf>
    <xf numFmtId="188" fontId="5" fillId="0" borderId="32" xfId="0" applyNumberFormat="1" applyFont="1" applyBorder="1" applyAlignment="1">
      <alignment horizontal="center" vertical="top"/>
    </xf>
    <xf numFmtId="188" fontId="5" fillId="0" borderId="17" xfId="0" applyNumberFormat="1" applyFont="1" applyBorder="1" applyAlignment="1">
      <alignment horizontal="center" vertical="top"/>
    </xf>
    <xf numFmtId="188" fontId="5" fillId="0" borderId="18" xfId="0" applyNumberFormat="1" applyFont="1" applyBorder="1" applyAlignment="1">
      <alignment horizontal="center" vertical="top"/>
    </xf>
    <xf numFmtId="188" fontId="5" fillId="0" borderId="16" xfId="0" applyNumberFormat="1" applyFont="1" applyBorder="1" applyAlignment="1">
      <alignment horizontal="center" vertical="top"/>
    </xf>
    <xf numFmtId="188" fontId="5" fillId="37" borderId="28" xfId="0" applyNumberFormat="1" applyFont="1" applyFill="1" applyBorder="1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188" fontId="60" fillId="37" borderId="13" xfId="0" applyNumberFormat="1" applyFont="1" applyFill="1" applyBorder="1" applyAlignment="1">
      <alignment horizontal="center" vertical="top"/>
    </xf>
    <xf numFmtId="188" fontId="60" fillId="37" borderId="14" xfId="0" applyNumberFormat="1" applyFont="1" applyFill="1" applyBorder="1" applyAlignment="1">
      <alignment horizontal="center" vertical="top"/>
    </xf>
    <xf numFmtId="188" fontId="60" fillId="37" borderId="15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Border="1" applyAlignment="1">
      <alignment vertical="top"/>
    </xf>
    <xf numFmtId="188" fontId="60" fillId="0" borderId="18" xfId="0" applyNumberFormat="1" applyFont="1" applyFill="1" applyBorder="1" applyAlignment="1">
      <alignment horizontal="center" vertical="top"/>
    </xf>
    <xf numFmtId="188" fontId="60" fillId="0" borderId="16" xfId="0" applyNumberFormat="1" applyFont="1" applyFill="1" applyBorder="1" applyAlignment="1">
      <alignment horizontal="center" vertical="top"/>
    </xf>
    <xf numFmtId="188" fontId="60" fillId="37" borderId="18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vertical="top"/>
    </xf>
    <xf numFmtId="0" fontId="62" fillId="0" borderId="0" xfId="0" applyFont="1" applyBorder="1" applyAlignment="1">
      <alignment horizontal="left" vertical="top"/>
    </xf>
    <xf numFmtId="0" fontId="63" fillId="37" borderId="44" xfId="0" applyFont="1" applyFill="1" applyBorder="1" applyAlignment="1">
      <alignment horizontal="center" vertical="top"/>
    </xf>
    <xf numFmtId="188" fontId="61" fillId="37" borderId="46" xfId="0" applyNumberFormat="1" applyFont="1" applyFill="1" applyBorder="1" applyAlignment="1">
      <alignment horizontal="center" vertical="top"/>
    </xf>
    <xf numFmtId="188" fontId="61" fillId="37" borderId="25" xfId="0" applyNumberFormat="1" applyFont="1" applyFill="1" applyBorder="1" applyAlignment="1">
      <alignment horizontal="center" vertical="top"/>
    </xf>
    <xf numFmtId="188" fontId="61" fillId="37" borderId="26" xfId="0" applyNumberFormat="1" applyFont="1" applyFill="1" applyBorder="1" applyAlignment="1">
      <alignment horizontal="center" vertical="top"/>
    </xf>
    <xf numFmtId="188" fontId="61" fillId="37" borderId="45" xfId="0" applyNumberFormat="1" applyFont="1" applyFill="1" applyBorder="1" applyAlignment="1">
      <alignment horizontal="center" vertical="top"/>
    </xf>
    <xf numFmtId="188" fontId="60" fillId="0" borderId="13" xfId="0" applyNumberFormat="1" applyFont="1" applyFill="1" applyBorder="1" applyAlignment="1">
      <alignment horizontal="center" vertical="top"/>
    </xf>
    <xf numFmtId="188" fontId="60" fillId="0" borderId="14" xfId="0" applyNumberFormat="1" applyFont="1" applyFill="1" applyBorder="1" applyAlignment="1">
      <alignment horizontal="center" vertical="top"/>
    </xf>
    <xf numFmtId="188" fontId="60" fillId="0" borderId="27" xfId="0" applyNumberFormat="1" applyFont="1" applyFill="1" applyBorder="1" applyAlignment="1">
      <alignment horizontal="center" vertical="top"/>
    </xf>
    <xf numFmtId="188" fontId="60" fillId="0" borderId="13" xfId="0" applyNumberFormat="1" applyFont="1" applyBorder="1" applyAlignment="1">
      <alignment horizontal="center" vertical="top"/>
    </xf>
    <xf numFmtId="188" fontId="60" fillId="0" borderId="15" xfId="0" applyNumberFormat="1" applyFont="1" applyFill="1" applyBorder="1" applyAlignment="1">
      <alignment horizontal="center" vertical="top"/>
    </xf>
    <xf numFmtId="188" fontId="60" fillId="0" borderId="50" xfId="0" applyNumberFormat="1" applyFont="1" applyFill="1" applyBorder="1" applyAlignment="1">
      <alignment horizontal="center" vertical="top" wrapText="1"/>
    </xf>
    <xf numFmtId="188" fontId="60" fillId="0" borderId="20" xfId="0" applyNumberFormat="1" applyFont="1" applyFill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188" fontId="60" fillId="0" borderId="51" xfId="0" applyNumberFormat="1" applyFont="1" applyFill="1" applyBorder="1" applyAlignment="1">
      <alignment horizontal="center" vertical="top"/>
    </xf>
    <xf numFmtId="188" fontId="60" fillId="0" borderId="30" xfId="0" applyNumberFormat="1" applyFont="1" applyFill="1" applyBorder="1" applyAlignment="1">
      <alignment horizontal="center" vertical="top"/>
    </xf>
    <xf numFmtId="188" fontId="60" fillId="0" borderId="34" xfId="0" applyNumberFormat="1" applyFont="1" applyFill="1" applyBorder="1" applyAlignment="1">
      <alignment horizontal="center" vertical="top"/>
    </xf>
    <xf numFmtId="188" fontId="60" fillId="0" borderId="29" xfId="0" applyNumberFormat="1" applyFont="1" applyBorder="1" applyAlignment="1">
      <alignment horizontal="center" vertical="top"/>
    </xf>
    <xf numFmtId="188" fontId="60" fillId="0" borderId="31" xfId="0" applyNumberFormat="1" applyFont="1" applyFill="1" applyBorder="1" applyAlignment="1">
      <alignment horizontal="center" vertical="top"/>
    </xf>
    <xf numFmtId="188" fontId="60" fillId="37" borderId="29" xfId="0" applyNumberFormat="1" applyFont="1" applyFill="1" applyBorder="1" applyAlignment="1">
      <alignment horizontal="center" vertical="top"/>
    </xf>
    <xf numFmtId="188" fontId="60" fillId="37" borderId="30" xfId="0" applyNumberFormat="1" applyFont="1" applyFill="1" applyBorder="1" applyAlignment="1">
      <alignment horizontal="center" vertical="top"/>
    </xf>
    <xf numFmtId="188" fontId="60" fillId="37" borderId="31" xfId="0" applyNumberFormat="1" applyFont="1" applyFill="1" applyBorder="1" applyAlignment="1">
      <alignment horizontal="center" vertical="top"/>
    </xf>
    <xf numFmtId="188" fontId="60" fillId="0" borderId="52" xfId="0" applyNumberFormat="1" applyFont="1" applyFill="1" applyBorder="1" applyAlignment="1">
      <alignment horizontal="center" vertical="top" wrapText="1"/>
    </xf>
    <xf numFmtId="188" fontId="60" fillId="0" borderId="22" xfId="0" applyNumberFormat="1" applyFont="1" applyFill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188" fontId="5" fillId="0" borderId="54" xfId="0" applyNumberFormat="1" applyFont="1" applyBorder="1" applyAlignment="1">
      <alignment horizontal="center" vertical="top"/>
    </xf>
    <xf numFmtId="188" fontId="5" fillId="37" borderId="54" xfId="0" applyNumberFormat="1" applyFont="1" applyFill="1" applyBorder="1" applyAlignment="1">
      <alignment horizontal="center" vertical="top"/>
    </xf>
    <xf numFmtId="188" fontId="5" fillId="37" borderId="55" xfId="0" applyNumberFormat="1" applyFont="1" applyFill="1" applyBorder="1" applyAlignment="1">
      <alignment horizontal="center" vertical="top"/>
    </xf>
    <xf numFmtId="188" fontId="5" fillId="0" borderId="54" xfId="0" applyNumberFormat="1" applyFont="1" applyFill="1" applyBorder="1" applyAlignment="1">
      <alignment horizontal="center" vertical="top"/>
    </xf>
    <xf numFmtId="188" fontId="5" fillId="0" borderId="56" xfId="0" applyNumberFormat="1" applyFont="1" applyFill="1" applyBorder="1" applyAlignment="1">
      <alignment horizontal="center" vertical="top"/>
    </xf>
    <xf numFmtId="188" fontId="5" fillId="0" borderId="57" xfId="0" applyNumberFormat="1" applyFont="1" applyFill="1" applyBorder="1" applyAlignment="1">
      <alignment horizontal="center" vertical="top"/>
    </xf>
    <xf numFmtId="188" fontId="5" fillId="0" borderId="58" xfId="0" applyNumberFormat="1" applyFont="1" applyFill="1" applyBorder="1" applyAlignment="1">
      <alignment horizontal="center" vertical="top"/>
    </xf>
    <xf numFmtId="188" fontId="5" fillId="0" borderId="59" xfId="0" applyNumberFormat="1" applyFont="1" applyBorder="1" applyAlignment="1">
      <alignment horizontal="center" vertical="top"/>
    </xf>
    <xf numFmtId="188" fontId="5" fillId="37" borderId="59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vertical="top"/>
    </xf>
    <xf numFmtId="0" fontId="62" fillId="0" borderId="0" xfId="0" applyFont="1" applyAlignment="1">
      <alignment vertical="top"/>
    </xf>
    <xf numFmtId="188" fontId="60" fillId="0" borderId="60" xfId="0" applyNumberFormat="1" applyFont="1" applyFill="1" applyBorder="1" applyAlignment="1">
      <alignment horizontal="center" vertical="top"/>
    </xf>
    <xf numFmtId="188" fontId="60" fillId="0" borderId="23" xfId="0" applyNumberFormat="1" applyFont="1" applyFill="1" applyBorder="1" applyAlignment="1">
      <alignment horizontal="center" vertical="top"/>
    </xf>
    <xf numFmtId="188" fontId="60" fillId="0" borderId="21" xfId="0" applyNumberFormat="1" applyFont="1" applyFill="1" applyBorder="1" applyAlignment="1">
      <alignment horizontal="center" vertical="top"/>
    </xf>
    <xf numFmtId="188" fontId="60" fillId="0" borderId="48" xfId="0" applyNumberFormat="1" applyFont="1" applyFill="1" applyBorder="1" applyAlignment="1">
      <alignment horizontal="center" vertical="top"/>
    </xf>
    <xf numFmtId="188" fontId="60" fillId="0" borderId="61" xfId="0" applyNumberFormat="1" applyFont="1" applyFill="1" applyBorder="1" applyAlignment="1">
      <alignment horizontal="center" vertical="top"/>
    </xf>
    <xf numFmtId="188" fontId="61" fillId="37" borderId="24" xfId="0" applyNumberFormat="1" applyFont="1" applyFill="1" applyBorder="1" applyAlignment="1">
      <alignment horizontal="center" vertical="top"/>
    </xf>
    <xf numFmtId="188" fontId="61" fillId="37" borderId="44" xfId="0" applyNumberFormat="1" applyFont="1" applyFill="1" applyBorder="1" applyAlignment="1">
      <alignment horizontal="center" vertical="top"/>
    </xf>
    <xf numFmtId="188" fontId="60" fillId="0" borderId="62" xfId="0" applyNumberFormat="1" applyFont="1" applyFill="1" applyBorder="1" applyAlignment="1">
      <alignment horizontal="center" vertical="top" wrapText="1"/>
    </xf>
    <xf numFmtId="188" fontId="61" fillId="0" borderId="0" xfId="0" applyNumberFormat="1" applyFont="1" applyFill="1" applyBorder="1" applyAlignment="1">
      <alignment horizontal="center" vertical="top"/>
    </xf>
    <xf numFmtId="0" fontId="64" fillId="0" borderId="0" xfId="0" applyNumberFormat="1" applyFont="1" applyBorder="1" applyAlignment="1">
      <alignment vertical="top" wrapText="1"/>
    </xf>
    <xf numFmtId="188" fontId="62" fillId="0" borderId="0" xfId="0" applyNumberFormat="1" applyFont="1" applyAlignment="1">
      <alignment vertical="top"/>
    </xf>
    <xf numFmtId="0" fontId="63" fillId="0" borderId="0" xfId="0" applyFont="1" applyAlignment="1">
      <alignment vertical="top"/>
    </xf>
    <xf numFmtId="188" fontId="60" fillId="0" borderId="27" xfId="0" applyNumberFormat="1" applyFont="1" applyBorder="1" applyAlignment="1">
      <alignment horizontal="center" vertical="top"/>
    </xf>
    <xf numFmtId="188" fontId="60" fillId="0" borderId="16" xfId="0" applyNumberFormat="1" applyFont="1" applyBorder="1" applyAlignment="1">
      <alignment horizontal="center" vertical="top"/>
    </xf>
    <xf numFmtId="188" fontId="60" fillId="0" borderId="17" xfId="0" applyNumberFormat="1" applyFont="1" applyBorder="1" applyAlignment="1">
      <alignment horizontal="center" vertical="top"/>
    </xf>
    <xf numFmtId="188" fontId="60" fillId="0" borderId="28" xfId="0" applyNumberFormat="1" applyFont="1" applyBorder="1" applyAlignment="1">
      <alignment horizontal="center" vertical="top"/>
    </xf>
    <xf numFmtId="188" fontId="60" fillId="0" borderId="56" xfId="0" applyNumberFormat="1" applyFont="1" applyBorder="1" applyAlignment="1">
      <alignment horizontal="center" vertical="top"/>
    </xf>
    <xf numFmtId="188" fontId="5" fillId="0" borderId="60" xfId="0" applyNumberFormat="1" applyFont="1" applyFill="1" applyBorder="1" applyAlignment="1">
      <alignment horizontal="center" vertical="top"/>
    </xf>
    <xf numFmtId="188" fontId="5" fillId="0" borderId="20" xfId="0" applyNumberFormat="1" applyFont="1" applyFill="1" applyBorder="1" applyAlignment="1">
      <alignment horizontal="center" vertical="top"/>
    </xf>
    <xf numFmtId="188" fontId="5" fillId="0" borderId="23" xfId="0" applyNumberFormat="1" applyFont="1" applyFill="1" applyBorder="1" applyAlignment="1">
      <alignment horizontal="center" vertical="top"/>
    </xf>
    <xf numFmtId="188" fontId="5" fillId="0" borderId="21" xfId="0" applyNumberFormat="1" applyFont="1" applyFill="1" applyBorder="1" applyAlignment="1">
      <alignment horizontal="center" vertical="top"/>
    </xf>
    <xf numFmtId="188" fontId="5" fillId="0" borderId="48" xfId="0" applyNumberFormat="1" applyFont="1" applyFill="1" applyBorder="1" applyAlignment="1">
      <alignment horizontal="center" vertical="top"/>
    </xf>
    <xf numFmtId="188" fontId="5" fillId="0" borderId="61" xfId="0" applyNumberFormat="1" applyFont="1" applyFill="1" applyBorder="1" applyAlignment="1">
      <alignment horizontal="center" vertical="top"/>
    </xf>
    <xf numFmtId="188" fontId="3" fillId="37" borderId="24" xfId="0" applyNumberFormat="1" applyFont="1" applyFill="1" applyBorder="1" applyAlignment="1">
      <alignment horizontal="center" vertical="top"/>
    </xf>
    <xf numFmtId="188" fontId="3" fillId="37" borderId="44" xfId="0" applyNumberFormat="1" applyFont="1" applyFill="1" applyBorder="1" applyAlignment="1">
      <alignment horizontal="center" vertical="top"/>
    </xf>
    <xf numFmtId="188" fontId="5" fillId="35" borderId="20" xfId="0" applyNumberFormat="1" applyFont="1" applyFill="1" applyBorder="1" applyAlignment="1">
      <alignment horizontal="center" vertical="top" wrapText="1"/>
    </xf>
    <xf numFmtId="188" fontId="5" fillId="35" borderId="21" xfId="0" applyNumberFormat="1" applyFont="1" applyFill="1" applyBorder="1" applyAlignment="1">
      <alignment horizontal="center" vertical="top" wrapText="1"/>
    </xf>
    <xf numFmtId="188" fontId="5" fillId="35" borderId="53" xfId="0" applyNumberFormat="1" applyFont="1" applyFill="1" applyBorder="1" applyAlignment="1">
      <alignment horizontal="center" vertical="top" wrapText="1"/>
    </xf>
    <xf numFmtId="188" fontId="5" fillId="35" borderId="61" xfId="0" applyNumberFormat="1" applyFont="1" applyFill="1" applyBorder="1" applyAlignment="1">
      <alignment horizontal="center" vertical="top" wrapText="1"/>
    </xf>
    <xf numFmtId="188" fontId="3" fillId="37" borderId="63" xfId="0" applyNumberFormat="1" applyFont="1" applyFill="1" applyBorder="1" applyAlignment="1">
      <alignment horizontal="center" vertical="top"/>
    </xf>
    <xf numFmtId="188" fontId="3" fillId="34" borderId="19" xfId="0" applyNumberFormat="1" applyFont="1" applyFill="1" applyBorder="1" applyAlignment="1">
      <alignment horizontal="center" vertical="top"/>
    </xf>
    <xf numFmtId="188" fontId="5" fillId="35" borderId="64" xfId="0" applyNumberFormat="1" applyFont="1" applyFill="1" applyBorder="1" applyAlignment="1">
      <alignment horizontal="center" vertical="top" wrapText="1"/>
    </xf>
    <xf numFmtId="188" fontId="5" fillId="35" borderId="22" xfId="0" applyNumberFormat="1" applyFont="1" applyFill="1" applyBorder="1" applyAlignment="1">
      <alignment horizontal="center" vertical="top" wrapText="1"/>
    </xf>
    <xf numFmtId="188" fontId="5" fillId="0" borderId="65" xfId="0" applyNumberFormat="1" applyFont="1" applyFill="1" applyBorder="1" applyAlignment="1">
      <alignment horizontal="center" vertical="top"/>
    </xf>
    <xf numFmtId="188" fontId="3" fillId="37" borderId="61" xfId="0" applyNumberFormat="1" applyFont="1" applyFill="1" applyBorder="1" applyAlignment="1">
      <alignment horizontal="center" vertical="top"/>
    </xf>
    <xf numFmtId="188" fontId="5" fillId="0" borderId="20" xfId="0" applyNumberFormat="1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center" vertical="top"/>
    </xf>
    <xf numFmtId="188" fontId="3" fillId="34" borderId="36" xfId="0" applyNumberFormat="1" applyFont="1" applyFill="1" applyBorder="1" applyAlignment="1">
      <alignment horizontal="center" vertical="top"/>
    </xf>
    <xf numFmtId="188" fontId="5" fillId="35" borderId="50" xfId="0" applyNumberFormat="1" applyFont="1" applyFill="1" applyBorder="1" applyAlignment="1">
      <alignment horizontal="center" vertical="top" wrapText="1"/>
    </xf>
    <xf numFmtId="188" fontId="5" fillId="35" borderId="52" xfId="0" applyNumberFormat="1" applyFont="1" applyFill="1" applyBorder="1" applyAlignment="1">
      <alignment horizontal="center" vertical="top" wrapText="1"/>
    </xf>
    <xf numFmtId="188" fontId="3" fillId="37" borderId="66" xfId="0" applyNumberFormat="1" applyFont="1" applyFill="1" applyBorder="1" applyAlignment="1">
      <alignment horizontal="center" vertical="top"/>
    </xf>
    <xf numFmtId="188" fontId="5" fillId="35" borderId="60" xfId="0" applyNumberFormat="1" applyFont="1" applyFill="1" applyBorder="1" applyAlignment="1">
      <alignment horizontal="center" vertical="top" wrapText="1"/>
    </xf>
    <xf numFmtId="188" fontId="5" fillId="35" borderId="67" xfId="0" applyNumberFormat="1" applyFont="1" applyFill="1" applyBorder="1" applyAlignment="1">
      <alignment horizontal="center" vertical="top" wrapText="1"/>
    </xf>
    <xf numFmtId="188" fontId="3" fillId="33" borderId="36" xfId="0" applyNumberFormat="1" applyFont="1" applyFill="1" applyBorder="1" applyAlignment="1">
      <alignment horizontal="center" vertical="top"/>
    </xf>
    <xf numFmtId="188" fontId="3" fillId="36" borderId="68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88" fontId="5" fillId="0" borderId="31" xfId="0" applyNumberFormat="1" applyFont="1" applyFill="1" applyBorder="1" applyAlignment="1">
      <alignment horizontal="center" vertical="top"/>
    </xf>
    <xf numFmtId="188" fontId="5" fillId="0" borderId="28" xfId="0" applyNumberFormat="1" applyFont="1" applyBorder="1" applyAlignment="1">
      <alignment horizontal="center" vertical="top"/>
    </xf>
    <xf numFmtId="188" fontId="5" fillId="35" borderId="62" xfId="0" applyNumberFormat="1" applyFont="1" applyFill="1" applyBorder="1" applyAlignment="1">
      <alignment horizontal="center" vertical="top" wrapText="1"/>
    </xf>
    <xf numFmtId="188" fontId="5" fillId="0" borderId="29" xfId="0" applyNumberFormat="1" applyFont="1" applyFill="1" applyBorder="1" applyAlignment="1">
      <alignment horizontal="center" vertical="top"/>
    </xf>
    <xf numFmtId="188" fontId="5" fillId="0" borderId="56" xfId="0" applyNumberFormat="1" applyFont="1" applyBorder="1" applyAlignment="1">
      <alignment horizontal="center" vertical="top"/>
    </xf>
    <xf numFmtId="188" fontId="5" fillId="0" borderId="69" xfId="0" applyNumberFormat="1" applyFont="1" applyFill="1" applyBorder="1" applyAlignment="1">
      <alignment horizontal="center" vertical="top"/>
    </xf>
    <xf numFmtId="188" fontId="5" fillId="0" borderId="55" xfId="0" applyNumberFormat="1" applyFont="1" applyFill="1" applyBorder="1" applyAlignment="1">
      <alignment horizontal="center" vertical="top"/>
    </xf>
    <xf numFmtId="188" fontId="5" fillId="37" borderId="70" xfId="0" applyNumberFormat="1" applyFont="1" applyFill="1" applyBorder="1" applyAlignment="1">
      <alignment horizontal="center" vertical="top"/>
    </xf>
    <xf numFmtId="188" fontId="5" fillId="35" borderId="0" xfId="0" applyNumberFormat="1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188" fontId="5" fillId="0" borderId="16" xfId="0" applyNumberFormat="1" applyFont="1" applyBorder="1" applyAlignment="1">
      <alignment horizontal="center" vertical="top"/>
    </xf>
    <xf numFmtId="188" fontId="5" fillId="0" borderId="17" xfId="0" applyNumberFormat="1" applyFont="1" applyBorder="1" applyAlignment="1">
      <alignment horizontal="center" vertical="top"/>
    </xf>
    <xf numFmtId="188" fontId="5" fillId="0" borderId="18" xfId="0" applyNumberFormat="1" applyFont="1" applyBorder="1" applyAlignment="1">
      <alignment horizontal="center" vertical="top"/>
    </xf>
    <xf numFmtId="188" fontId="5" fillId="0" borderId="23" xfId="0" applyNumberFormat="1" applyFont="1" applyBorder="1" applyAlignment="1">
      <alignment horizontal="center" vertical="top" wrapText="1"/>
    </xf>
    <xf numFmtId="188" fontId="5" fillId="0" borderId="62" xfId="0" applyNumberFormat="1" applyFont="1" applyBorder="1" applyAlignment="1">
      <alignment horizontal="center" vertical="top" wrapText="1"/>
    </xf>
    <xf numFmtId="188" fontId="5" fillId="0" borderId="65" xfId="0" applyNumberFormat="1" applyFont="1" applyBorder="1" applyAlignment="1">
      <alignment horizontal="center" vertical="top" wrapText="1"/>
    </xf>
    <xf numFmtId="188" fontId="3" fillId="0" borderId="60" xfId="0" applyNumberFormat="1" applyFont="1" applyFill="1" applyBorder="1" applyAlignment="1">
      <alignment horizontal="center" vertical="top"/>
    </xf>
    <xf numFmtId="188" fontId="3" fillId="0" borderId="50" xfId="0" applyNumberFormat="1" applyFont="1" applyFill="1" applyBorder="1" applyAlignment="1">
      <alignment horizontal="center" vertical="top"/>
    </xf>
    <xf numFmtId="188" fontId="3" fillId="0" borderId="64" xfId="0" applyNumberFormat="1" applyFont="1" applyFill="1" applyBorder="1" applyAlignment="1">
      <alignment horizontal="center" vertical="top"/>
    </xf>
    <xf numFmtId="188" fontId="3" fillId="0" borderId="23" xfId="0" applyNumberFormat="1" applyFont="1" applyFill="1" applyBorder="1" applyAlignment="1">
      <alignment horizontal="center" vertical="top"/>
    </xf>
    <xf numFmtId="188" fontId="3" fillId="0" borderId="62" xfId="0" applyNumberFormat="1" applyFont="1" applyFill="1" applyBorder="1" applyAlignment="1">
      <alignment horizontal="center" vertical="top"/>
    </xf>
    <xf numFmtId="188" fontId="3" fillId="0" borderId="65" xfId="0" applyNumberFormat="1" applyFont="1" applyFill="1" applyBorder="1" applyAlignment="1">
      <alignment horizontal="center" vertical="top"/>
    </xf>
    <xf numFmtId="188" fontId="5" fillId="0" borderId="67" xfId="0" applyNumberFormat="1" applyFont="1" applyBorder="1" applyAlignment="1">
      <alignment horizontal="center" vertical="top" wrapText="1"/>
    </xf>
    <xf numFmtId="188" fontId="5" fillId="0" borderId="52" xfId="0" applyNumberFormat="1" applyFont="1" applyBorder="1" applyAlignment="1">
      <alignment horizontal="center" vertical="top" wrapText="1"/>
    </xf>
    <xf numFmtId="188" fontId="5" fillId="0" borderId="23" xfId="0" applyNumberFormat="1" applyFont="1" applyBorder="1" applyAlignment="1">
      <alignment horizontal="center" vertical="top"/>
    </xf>
    <xf numFmtId="188" fontId="5" fillId="0" borderId="62" xfId="0" applyNumberFormat="1" applyFont="1" applyBorder="1" applyAlignment="1">
      <alignment horizontal="center" vertical="top"/>
    </xf>
    <xf numFmtId="188" fontId="5" fillId="0" borderId="65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188" fontId="3" fillId="0" borderId="60" xfId="0" applyNumberFormat="1" applyFont="1" applyFill="1" applyBorder="1" applyAlignment="1">
      <alignment horizontal="center" vertical="top" wrapText="1"/>
    </xf>
    <xf numFmtId="188" fontId="3" fillId="0" borderId="50" xfId="0" applyNumberFormat="1" applyFont="1" applyFill="1" applyBorder="1" applyAlignment="1">
      <alignment horizontal="center" vertical="top" wrapText="1"/>
    </xf>
    <xf numFmtId="188" fontId="3" fillId="0" borderId="64" xfId="0" applyNumberFormat="1" applyFont="1" applyFill="1" applyBorder="1" applyAlignment="1">
      <alignment horizontal="center" vertical="top" wrapText="1"/>
    </xf>
    <xf numFmtId="188" fontId="3" fillId="0" borderId="23" xfId="0" applyNumberFormat="1" applyFont="1" applyFill="1" applyBorder="1" applyAlignment="1">
      <alignment horizontal="center" vertical="top" wrapText="1"/>
    </xf>
    <xf numFmtId="188" fontId="3" fillId="0" borderId="62" xfId="0" applyNumberFormat="1" applyFont="1" applyFill="1" applyBorder="1" applyAlignment="1">
      <alignment horizontal="center" vertical="top" wrapText="1"/>
    </xf>
    <xf numFmtId="188" fontId="3" fillId="0" borderId="65" xfId="0" applyNumberFormat="1" applyFont="1" applyFill="1" applyBorder="1" applyAlignment="1">
      <alignment horizontal="center" vertical="top" wrapText="1"/>
    </xf>
    <xf numFmtId="188" fontId="5" fillId="0" borderId="71" xfId="0" applyNumberFormat="1" applyFont="1" applyBorder="1" applyAlignment="1">
      <alignment horizontal="center" vertical="top" wrapText="1"/>
    </xf>
    <xf numFmtId="49" fontId="62" fillId="0" borderId="72" xfId="0" applyNumberFormat="1" applyFont="1" applyBorder="1" applyAlignment="1">
      <alignment horizontal="center" vertical="top"/>
    </xf>
    <xf numFmtId="49" fontId="62" fillId="0" borderId="73" xfId="0" applyNumberFormat="1" applyFont="1" applyBorder="1" applyAlignment="1">
      <alignment horizontal="center" vertical="top"/>
    </xf>
    <xf numFmtId="0" fontId="65" fillId="0" borderId="73" xfId="0" applyFont="1" applyBorder="1" applyAlignment="1">
      <alignment/>
    </xf>
    <xf numFmtId="0" fontId="65" fillId="0" borderId="74" xfId="0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5" fillId="0" borderId="75" xfId="0" applyNumberFormat="1" applyFont="1" applyBorder="1" applyAlignment="1">
      <alignment horizontal="center" vertical="top" wrapText="1"/>
    </xf>
    <xf numFmtId="49" fontId="15" fillId="0" borderId="53" xfId="0" applyNumberFormat="1" applyFont="1" applyBorder="1" applyAlignment="1">
      <alignment horizontal="center" vertical="top" wrapText="1"/>
    </xf>
    <xf numFmtId="49" fontId="15" fillId="0" borderId="68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188" fontId="5" fillId="0" borderId="60" xfId="0" applyNumberFormat="1" applyFont="1" applyBorder="1" applyAlignment="1">
      <alignment horizontal="center" vertical="top" wrapText="1"/>
    </xf>
    <xf numFmtId="188" fontId="5" fillId="0" borderId="50" xfId="0" applyNumberFormat="1" applyFont="1" applyBorder="1" applyAlignment="1">
      <alignment horizontal="center" vertical="top" wrapText="1"/>
    </xf>
    <xf numFmtId="188" fontId="5" fillId="0" borderId="64" xfId="0" applyNumberFormat="1" applyFont="1" applyBorder="1" applyAlignment="1">
      <alignment horizontal="center" vertical="top" wrapText="1"/>
    </xf>
    <xf numFmtId="49" fontId="1" fillId="0" borderId="67" xfId="0" applyNumberFormat="1" applyFont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33" xfId="0" applyNumberFormat="1" applyFont="1" applyFill="1" applyBorder="1" applyAlignment="1">
      <alignment horizontal="left" vertical="top" wrapText="1"/>
    </xf>
    <xf numFmtId="49" fontId="2" fillId="38" borderId="19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textRotation="90" wrapText="1"/>
    </xf>
    <xf numFmtId="0" fontId="1" fillId="0" borderId="54" xfId="0" applyFont="1" applyBorder="1" applyAlignment="1">
      <alignment horizontal="center" vertical="top" textRotation="90" wrapText="1"/>
    </xf>
    <xf numFmtId="0" fontId="1" fillId="0" borderId="41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45" xfId="0" applyFont="1" applyBorder="1" applyAlignment="1">
      <alignment horizontal="center" vertical="top" textRotation="90" wrapText="1"/>
    </xf>
    <xf numFmtId="0" fontId="1" fillId="0" borderId="18" xfId="0" applyFont="1" applyFill="1" applyBorder="1" applyAlignment="1">
      <alignment horizontal="center" vertical="top" textRotation="90" wrapText="1"/>
    </xf>
    <xf numFmtId="0" fontId="1" fillId="0" borderId="26" xfId="0" applyFont="1" applyFill="1" applyBorder="1" applyAlignment="1">
      <alignment horizontal="center" vertical="top" textRotation="90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49" fontId="60" fillId="0" borderId="20" xfId="0" applyNumberFormat="1" applyFont="1" applyBorder="1" applyAlignment="1">
      <alignment horizontal="center" vertical="top"/>
    </xf>
    <xf numFmtId="49" fontId="60" fillId="0" borderId="22" xfId="0" applyNumberFormat="1" applyFont="1" applyBorder="1" applyAlignment="1">
      <alignment horizontal="center" vertical="top"/>
    </xf>
    <xf numFmtId="49" fontId="60" fillId="0" borderId="21" xfId="0" applyNumberFormat="1" applyFont="1" applyBorder="1" applyAlignment="1">
      <alignment horizontal="center" vertical="top"/>
    </xf>
    <xf numFmtId="49" fontId="60" fillId="0" borderId="44" xfId="0" applyNumberFormat="1" applyFont="1" applyBorder="1" applyAlignment="1">
      <alignment horizontal="center" vertical="top"/>
    </xf>
    <xf numFmtId="49" fontId="15" fillId="0" borderId="75" xfId="0" applyNumberFormat="1" applyFont="1" applyBorder="1" applyAlignment="1">
      <alignment horizontal="center" vertical="top"/>
    </xf>
    <xf numFmtId="49" fontId="15" fillId="0" borderId="53" xfId="0" applyNumberFormat="1" applyFont="1" applyBorder="1" applyAlignment="1">
      <alignment horizontal="center" vertical="top"/>
    </xf>
    <xf numFmtId="49" fontId="15" fillId="0" borderId="68" xfId="0" applyNumberFormat="1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right" vertical="top"/>
    </xf>
    <xf numFmtId="49" fontId="3" fillId="34" borderId="33" xfId="0" applyNumberFormat="1" applyFont="1" applyFill="1" applyBorder="1" applyAlignment="1">
      <alignment horizontal="right" vertical="top"/>
    </xf>
    <xf numFmtId="49" fontId="3" fillId="34" borderId="19" xfId="0" applyNumberFormat="1" applyFont="1" applyFill="1" applyBorder="1" applyAlignment="1">
      <alignment horizontal="right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0" fontId="5" fillId="0" borderId="75" xfId="0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left" vertical="top" wrapText="1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44" xfId="0" applyNumberFormat="1" applyFont="1" applyFill="1" applyBorder="1" applyAlignment="1">
      <alignment horizontal="center" vertical="top"/>
    </xf>
    <xf numFmtId="49" fontId="3" fillId="34" borderId="20" xfId="0" applyNumberFormat="1" applyFont="1" applyFill="1" applyBorder="1" applyAlignment="1">
      <alignment horizontal="center" vertical="top"/>
    </xf>
    <xf numFmtId="49" fontId="3" fillId="34" borderId="44" xfId="0" applyNumberFormat="1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49" fontId="3" fillId="34" borderId="40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44" xfId="0" applyFont="1" applyFill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49" fontId="3" fillId="34" borderId="53" xfId="0" applyNumberFormat="1" applyFont="1" applyFill="1" applyBorder="1" applyAlignment="1">
      <alignment horizontal="center" vertical="top"/>
    </xf>
    <xf numFmtId="0" fontId="2" fillId="34" borderId="76" xfId="0" applyFont="1" applyFill="1" applyBorder="1" applyAlignment="1">
      <alignment horizontal="left" vertical="top" wrapText="1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61" xfId="0" applyNumberFormat="1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 vertical="top"/>
    </xf>
    <xf numFmtId="49" fontId="3" fillId="34" borderId="61" xfId="0" applyNumberFormat="1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61" xfId="0" applyNumberFormat="1" applyFont="1" applyBorder="1" applyAlignment="1">
      <alignment horizontal="center" vertical="top"/>
    </xf>
    <xf numFmtId="0" fontId="5" fillId="0" borderId="75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49" fontId="3" fillId="0" borderId="53" xfId="0" applyNumberFormat="1" applyFont="1" applyBorder="1" applyAlignment="1">
      <alignment horizontal="center" vertical="top"/>
    </xf>
    <xf numFmtId="49" fontId="3" fillId="33" borderId="53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61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1" fillId="0" borderId="6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49" fontId="3" fillId="33" borderId="75" xfId="0" applyNumberFormat="1" applyFont="1" applyFill="1" applyBorder="1" applyAlignment="1">
      <alignment horizontal="center" vertical="top"/>
    </xf>
    <xf numFmtId="49" fontId="3" fillId="33" borderId="68" xfId="0" applyNumberFormat="1" applyFont="1" applyFill="1" applyBorder="1" applyAlignment="1">
      <alignment horizontal="center" vertical="top"/>
    </xf>
    <xf numFmtId="49" fontId="3" fillId="34" borderId="75" xfId="0" applyNumberFormat="1" applyFont="1" applyFill="1" applyBorder="1" applyAlignment="1">
      <alignment horizontal="center" vertical="top"/>
    </xf>
    <xf numFmtId="49" fontId="3" fillId="34" borderId="68" xfId="0" applyNumberFormat="1" applyFont="1" applyFill="1" applyBorder="1" applyAlignment="1">
      <alignment horizontal="center" vertical="top"/>
    </xf>
    <xf numFmtId="49" fontId="3" fillId="0" borderId="75" xfId="0" applyNumberFormat="1" applyFont="1" applyBorder="1" applyAlignment="1">
      <alignment horizontal="center" vertical="top"/>
    </xf>
    <xf numFmtId="49" fontId="3" fillId="0" borderId="68" xfId="0" applyNumberFormat="1" applyFont="1" applyBorder="1" applyAlignment="1">
      <alignment horizontal="center" vertical="top"/>
    </xf>
    <xf numFmtId="0" fontId="1" fillId="0" borderId="75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49" fontId="5" fillId="0" borderId="75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5" fillId="0" borderId="68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25" xfId="0" applyFont="1" applyBorder="1" applyAlignment="1">
      <alignment horizontal="center" vertical="top" textRotation="90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27" xfId="0" applyFont="1" applyBorder="1" applyAlignment="1">
      <alignment horizontal="center" vertical="top" textRotation="90" wrapText="1"/>
    </xf>
    <xf numFmtId="0" fontId="1" fillId="0" borderId="28" xfId="0" applyFont="1" applyBorder="1" applyAlignment="1">
      <alignment horizontal="center" vertical="top" textRotation="90" wrapText="1"/>
    </xf>
    <xf numFmtId="0" fontId="1" fillId="0" borderId="47" xfId="0" applyFont="1" applyBorder="1" applyAlignment="1">
      <alignment horizontal="center" vertical="top" textRotation="90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33" xfId="0" applyFont="1" applyFill="1" applyBorder="1" applyAlignment="1">
      <alignment horizontal="left" vertical="top" wrapText="1"/>
    </xf>
    <xf numFmtId="0" fontId="7" fillId="36" borderId="19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textRotation="90" wrapText="1"/>
    </xf>
    <xf numFmtId="0" fontId="3" fillId="0" borderId="18" xfId="0" applyFont="1" applyBorder="1" applyAlignment="1">
      <alignment horizontal="center" vertical="top" textRotation="90" wrapText="1"/>
    </xf>
    <xf numFmtId="0" fontId="3" fillId="0" borderId="2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textRotation="90" wrapText="1"/>
    </xf>
    <xf numFmtId="0" fontId="3" fillId="0" borderId="32" xfId="0" applyFont="1" applyBorder="1" applyAlignment="1">
      <alignment horizontal="center" vertical="top" textRotation="90" wrapText="1"/>
    </xf>
    <xf numFmtId="0" fontId="3" fillId="0" borderId="46" xfId="0" applyFont="1" applyBorder="1" applyAlignment="1">
      <alignment horizontal="center" vertical="top" textRotation="90" wrapText="1"/>
    </xf>
    <xf numFmtId="49" fontId="3" fillId="0" borderId="22" xfId="0" applyNumberFormat="1" applyFont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49" fontId="3" fillId="33" borderId="22" xfId="0" applyNumberFormat="1" applyFont="1" applyFill="1" applyBorder="1" applyAlignment="1">
      <alignment horizontal="center" vertical="top"/>
    </xf>
    <xf numFmtId="49" fontId="3" fillId="34" borderId="22" xfId="0" applyNumberFormat="1" applyFont="1" applyFill="1" applyBorder="1" applyAlignment="1">
      <alignment horizontal="center" vertical="top"/>
    </xf>
    <xf numFmtId="0" fontId="63" fillId="0" borderId="20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44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left" vertical="top" wrapText="1"/>
    </xf>
    <xf numFmtId="0" fontId="60" fillId="0" borderId="52" xfId="0" applyFont="1" applyFill="1" applyBorder="1" applyAlignment="1">
      <alignment horizontal="left" vertical="top" wrapText="1"/>
    </xf>
    <xf numFmtId="0" fontId="60" fillId="0" borderId="62" xfId="0" applyFont="1" applyFill="1" applyBorder="1" applyAlignment="1">
      <alignment horizontal="left" vertical="top" wrapText="1"/>
    </xf>
    <xf numFmtId="0" fontId="60" fillId="0" borderId="66" xfId="0" applyFont="1" applyFill="1" applyBorder="1" applyAlignment="1">
      <alignment horizontal="left" vertical="top" wrapText="1"/>
    </xf>
    <xf numFmtId="49" fontId="61" fillId="33" borderId="75" xfId="0" applyNumberFormat="1" applyFont="1" applyFill="1" applyBorder="1" applyAlignment="1">
      <alignment horizontal="center" vertical="top"/>
    </xf>
    <xf numFmtId="49" fontId="61" fillId="33" borderId="53" xfId="0" applyNumberFormat="1" applyFont="1" applyFill="1" applyBorder="1" applyAlignment="1">
      <alignment horizontal="center" vertical="top"/>
    </xf>
    <xf numFmtId="49" fontId="61" fillId="33" borderId="68" xfId="0" applyNumberFormat="1" applyFont="1" applyFill="1" applyBorder="1" applyAlignment="1">
      <alignment horizontal="center" vertical="top"/>
    </xf>
    <xf numFmtId="49" fontId="61" fillId="34" borderId="75" xfId="0" applyNumberFormat="1" applyFont="1" applyFill="1" applyBorder="1" applyAlignment="1">
      <alignment horizontal="center" vertical="top"/>
    </xf>
    <xf numFmtId="49" fontId="61" fillId="34" borderId="53" xfId="0" applyNumberFormat="1" applyFont="1" applyFill="1" applyBorder="1" applyAlignment="1">
      <alignment horizontal="center" vertical="top"/>
    </xf>
    <xf numFmtId="49" fontId="61" fillId="34" borderId="68" xfId="0" applyNumberFormat="1" applyFont="1" applyFill="1" applyBorder="1" applyAlignment="1">
      <alignment horizontal="center" vertical="top"/>
    </xf>
    <xf numFmtId="49" fontId="61" fillId="0" borderId="20" xfId="0" applyNumberFormat="1" applyFont="1" applyBorder="1" applyAlignment="1">
      <alignment horizontal="center" vertical="top"/>
    </xf>
    <xf numFmtId="49" fontId="61" fillId="0" borderId="22" xfId="0" applyNumberFormat="1" applyFont="1" applyBorder="1" applyAlignment="1">
      <alignment horizontal="center" vertical="top"/>
    </xf>
    <xf numFmtId="49" fontId="61" fillId="0" borderId="21" xfId="0" applyNumberFormat="1" applyFont="1" applyBorder="1" applyAlignment="1">
      <alignment horizontal="center" vertical="top"/>
    </xf>
    <xf numFmtId="49" fontId="61" fillId="0" borderId="44" xfId="0" applyNumberFormat="1" applyFont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left" vertical="top" wrapText="1"/>
    </xf>
    <xf numFmtId="49" fontId="3" fillId="34" borderId="77" xfId="0" applyNumberFormat="1" applyFont="1" applyFill="1" applyBorder="1" applyAlignment="1">
      <alignment horizontal="right" vertical="top"/>
    </xf>
    <xf numFmtId="49" fontId="3" fillId="33" borderId="77" xfId="0" applyNumberFormat="1" applyFont="1" applyFill="1" applyBorder="1" applyAlignment="1">
      <alignment horizontal="right" vertical="top"/>
    </xf>
    <xf numFmtId="49" fontId="3" fillId="33" borderId="33" xfId="0" applyNumberFormat="1" applyFont="1" applyFill="1" applyBorder="1" applyAlignment="1">
      <alignment horizontal="right" vertical="top"/>
    </xf>
    <xf numFmtId="49" fontId="3" fillId="33" borderId="19" xfId="0" applyNumberFormat="1" applyFont="1" applyFill="1" applyBorder="1" applyAlignment="1">
      <alignment horizontal="right" vertical="top"/>
    </xf>
    <xf numFmtId="49" fontId="3" fillId="36" borderId="77" xfId="0" applyNumberFormat="1" applyFont="1" applyFill="1" applyBorder="1" applyAlignment="1">
      <alignment horizontal="right" vertical="top"/>
    </xf>
    <xf numFmtId="49" fontId="3" fillId="36" borderId="33" xfId="0" applyNumberFormat="1" applyFont="1" applyFill="1" applyBorder="1" applyAlignment="1">
      <alignment horizontal="right" vertical="top"/>
    </xf>
    <xf numFmtId="49" fontId="3" fillId="36" borderId="19" xfId="0" applyNumberFormat="1" applyFont="1" applyFill="1" applyBorder="1" applyAlignment="1">
      <alignment horizontal="right" vertical="top"/>
    </xf>
    <xf numFmtId="0" fontId="11" fillId="0" borderId="78" xfId="0" applyNumberFormat="1" applyFont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66" xfId="0" applyNumberFormat="1" applyFont="1" applyFill="1" applyBorder="1" applyAlignment="1">
      <alignment horizontal="center" vertical="top"/>
    </xf>
    <xf numFmtId="0" fontId="2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top" wrapText="1"/>
    </xf>
    <xf numFmtId="188" fontId="3" fillId="36" borderId="79" xfId="0" applyNumberFormat="1" applyFont="1" applyFill="1" applyBorder="1" applyAlignment="1">
      <alignment horizontal="center" vertical="top" wrapText="1"/>
    </xf>
    <xf numFmtId="188" fontId="3" fillId="36" borderId="80" xfId="0" applyNumberFormat="1" applyFont="1" applyFill="1" applyBorder="1" applyAlignment="1">
      <alignment horizontal="center" vertical="top" wrapText="1"/>
    </xf>
    <xf numFmtId="188" fontId="3" fillId="36" borderId="8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top" wrapText="1"/>
    </xf>
    <xf numFmtId="188" fontId="5" fillId="0" borderId="29" xfId="0" applyNumberFormat="1" applyFont="1" applyBorder="1" applyAlignment="1">
      <alignment horizontal="center" vertical="top"/>
    </xf>
    <xf numFmtId="188" fontId="5" fillId="0" borderId="30" xfId="0" applyNumberFormat="1" applyFont="1" applyBorder="1" applyAlignment="1">
      <alignment horizontal="center" vertical="top"/>
    </xf>
    <xf numFmtId="188" fontId="5" fillId="0" borderId="31" xfId="0" applyNumberFormat="1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188" fontId="5" fillId="0" borderId="49" xfId="0" applyNumberFormat="1" applyFont="1" applyBorder="1" applyAlignment="1">
      <alignment horizontal="center" vertical="top" wrapText="1"/>
    </xf>
    <xf numFmtId="188" fontId="5" fillId="0" borderId="78" xfId="0" applyNumberFormat="1" applyFont="1" applyBorder="1" applyAlignment="1">
      <alignment horizontal="center" vertical="top" wrapText="1"/>
    </xf>
    <xf numFmtId="188" fontId="5" fillId="0" borderId="74" xfId="0" applyNumberFormat="1" applyFont="1" applyBorder="1" applyAlignment="1">
      <alignment horizontal="center" vertical="top" wrapText="1"/>
    </xf>
    <xf numFmtId="0" fontId="3" fillId="37" borderId="79" xfId="0" applyFont="1" applyFill="1" applyBorder="1" applyAlignment="1">
      <alignment horizontal="center" vertical="top" wrapText="1"/>
    </xf>
    <xf numFmtId="0" fontId="3" fillId="37" borderId="80" xfId="0" applyFont="1" applyFill="1" applyBorder="1" applyAlignment="1">
      <alignment horizontal="center" vertical="top" wrapText="1"/>
    </xf>
    <xf numFmtId="0" fontId="3" fillId="37" borderId="81" xfId="0" applyFont="1" applyFill="1" applyBorder="1" applyAlignment="1">
      <alignment horizontal="center" vertical="top" wrapText="1"/>
    </xf>
    <xf numFmtId="188" fontId="3" fillId="37" borderId="79" xfId="0" applyNumberFormat="1" applyFont="1" applyFill="1" applyBorder="1" applyAlignment="1">
      <alignment horizontal="center" vertical="top" wrapText="1"/>
    </xf>
    <xf numFmtId="188" fontId="3" fillId="37" borderId="80" xfId="0" applyNumberFormat="1" applyFont="1" applyFill="1" applyBorder="1" applyAlignment="1">
      <alignment horizontal="center" vertical="top" wrapText="1"/>
    </xf>
    <xf numFmtId="188" fontId="3" fillId="37" borderId="81" xfId="0" applyNumberFormat="1" applyFont="1" applyFill="1" applyBorder="1" applyAlignment="1">
      <alignment horizontal="center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35" borderId="23" xfId="0" applyFont="1" applyFill="1" applyBorder="1" applyAlignment="1">
      <alignment horizontal="left" vertical="top" wrapText="1"/>
    </xf>
    <xf numFmtId="0" fontId="5" fillId="35" borderId="62" xfId="0" applyFont="1" applyFill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49" fontId="1" fillId="0" borderId="7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49" fontId="1" fillId="0" borderId="74" xfId="0" applyNumberFormat="1" applyFont="1" applyFill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49" fontId="66" fillId="0" borderId="75" xfId="0" applyNumberFormat="1" applyFont="1" applyBorder="1" applyAlignment="1">
      <alignment horizontal="center" vertical="top"/>
    </xf>
    <xf numFmtId="49" fontId="66" fillId="0" borderId="53" xfId="0" applyNumberFormat="1" applyFont="1" applyBorder="1" applyAlignment="1">
      <alignment horizontal="center" vertical="top"/>
    </xf>
    <xf numFmtId="49" fontId="66" fillId="0" borderId="68" xfId="0" applyNumberFormat="1" applyFont="1" applyBorder="1" applyAlignment="1">
      <alignment horizontal="center" vertical="top"/>
    </xf>
    <xf numFmtId="0" fontId="3" fillId="36" borderId="79" xfId="0" applyFont="1" applyFill="1" applyBorder="1" applyAlignment="1">
      <alignment horizontal="center" vertical="top" wrapText="1"/>
    </xf>
    <xf numFmtId="0" fontId="3" fillId="36" borderId="80" xfId="0" applyFont="1" applyFill="1" applyBorder="1" applyAlignment="1">
      <alignment horizontal="center" vertical="top" wrapText="1"/>
    </xf>
    <xf numFmtId="0" fontId="3" fillId="36" borderId="81" xfId="0" applyFont="1" applyFill="1" applyBorder="1" applyAlignment="1">
      <alignment horizontal="center" vertical="top" wrapText="1"/>
    </xf>
    <xf numFmtId="0" fontId="5" fillId="35" borderId="67" xfId="0" applyFont="1" applyFill="1" applyBorder="1" applyAlignment="1">
      <alignment horizontal="left" vertical="top" wrapText="1"/>
    </xf>
    <xf numFmtId="0" fontId="5" fillId="35" borderId="5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49" fontId="5" fillId="0" borderId="75" xfId="0" applyNumberFormat="1" applyFont="1" applyBorder="1" applyAlignment="1">
      <alignment horizontal="center" vertical="top" wrapText="1"/>
    </xf>
    <xf numFmtId="49" fontId="5" fillId="0" borderId="53" xfId="0" applyNumberFormat="1" applyFont="1" applyBorder="1" applyAlignment="1">
      <alignment horizontal="center" vertical="top" wrapText="1"/>
    </xf>
    <xf numFmtId="49" fontId="5" fillId="0" borderId="68" xfId="0" applyNumberFormat="1" applyFont="1" applyBorder="1" applyAlignment="1">
      <alignment horizontal="center" vertical="top" wrapText="1"/>
    </xf>
    <xf numFmtId="0" fontId="15" fillId="0" borderId="75" xfId="0" applyFont="1" applyFill="1" applyBorder="1" applyAlignment="1">
      <alignment horizontal="center" vertical="top" textRotation="90" wrapText="1"/>
    </xf>
    <xf numFmtId="0" fontId="15" fillId="0" borderId="53" xfId="0" applyFont="1" applyFill="1" applyBorder="1" applyAlignment="1">
      <alignment horizontal="center" vertical="top" textRotation="90" wrapText="1"/>
    </xf>
    <xf numFmtId="0" fontId="15" fillId="0" borderId="68" xfId="0" applyFont="1" applyFill="1" applyBorder="1" applyAlignment="1">
      <alignment horizontal="center" vertical="top" textRotation="90" wrapText="1"/>
    </xf>
    <xf numFmtId="0" fontId="5" fillId="0" borderId="60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62" xfId="0" applyFont="1" applyFill="1" applyBorder="1" applyAlignment="1">
      <alignment horizontal="left" vertical="top" wrapText="1"/>
    </xf>
    <xf numFmtId="0" fontId="1" fillId="0" borderId="79" xfId="0" applyFont="1" applyBorder="1" applyAlignment="1">
      <alignment horizontal="center" vertical="top" textRotation="90" wrapText="1"/>
    </xf>
    <xf numFmtId="0" fontId="0" fillId="0" borderId="80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188" fontId="5" fillId="0" borderId="70" xfId="0" applyNumberFormat="1" applyFont="1" applyBorder="1" applyAlignment="1">
      <alignment horizontal="center" vertical="top"/>
    </xf>
    <xf numFmtId="188" fontId="5" fillId="0" borderId="54" xfId="0" applyNumberFormat="1" applyFont="1" applyBorder="1" applyAlignment="1">
      <alignment horizontal="center" vertical="top"/>
    </xf>
    <xf numFmtId="188" fontId="5" fillId="0" borderId="55" xfId="0" applyNumberFormat="1" applyFont="1" applyBorder="1" applyAlignment="1">
      <alignment horizontal="center" vertical="top"/>
    </xf>
    <xf numFmtId="188" fontId="3" fillId="37" borderId="10" xfId="0" applyNumberFormat="1" applyFont="1" applyFill="1" applyBorder="1" applyAlignment="1">
      <alignment horizontal="center" vertical="top"/>
    </xf>
    <xf numFmtId="188" fontId="3" fillId="37" borderId="33" xfId="0" applyNumberFormat="1" applyFont="1" applyFill="1" applyBorder="1" applyAlignment="1">
      <alignment horizontal="center" vertical="top"/>
    </xf>
    <xf numFmtId="188" fontId="3" fillId="37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88" fontId="5" fillId="37" borderId="60" xfId="0" applyNumberFormat="1" applyFont="1" applyFill="1" applyBorder="1" applyAlignment="1">
      <alignment horizontal="center" vertical="top" wrapText="1"/>
    </xf>
    <xf numFmtId="188" fontId="5" fillId="37" borderId="50" xfId="0" applyNumberFormat="1" applyFont="1" applyFill="1" applyBorder="1" applyAlignment="1">
      <alignment horizontal="center" vertical="top" wrapText="1"/>
    </xf>
    <xf numFmtId="188" fontId="5" fillId="37" borderId="64" xfId="0" applyNumberFormat="1" applyFont="1" applyFill="1" applyBorder="1" applyAlignment="1">
      <alignment horizontal="center" vertical="top" wrapText="1"/>
    </xf>
    <xf numFmtId="188" fontId="5" fillId="37" borderId="23" xfId="0" applyNumberFormat="1" applyFont="1" applyFill="1" applyBorder="1" applyAlignment="1">
      <alignment horizontal="center" vertical="top" wrapText="1"/>
    </xf>
    <xf numFmtId="188" fontId="5" fillId="37" borderId="62" xfId="0" applyNumberFormat="1" applyFont="1" applyFill="1" applyBorder="1" applyAlignment="1">
      <alignment horizontal="center" vertical="top" wrapText="1"/>
    </xf>
    <xf numFmtId="188" fontId="5" fillId="37" borderId="65" xfId="0" applyNumberFormat="1" applyFont="1" applyFill="1" applyBorder="1" applyAlignment="1">
      <alignment horizontal="center" vertical="top" wrapText="1"/>
    </xf>
    <xf numFmtId="188" fontId="5" fillId="37" borderId="67" xfId="0" applyNumberFormat="1" applyFont="1" applyFill="1" applyBorder="1" applyAlignment="1">
      <alignment horizontal="center" vertical="top" wrapText="1"/>
    </xf>
    <xf numFmtId="188" fontId="5" fillId="37" borderId="52" xfId="0" applyNumberFormat="1" applyFont="1" applyFill="1" applyBorder="1" applyAlignment="1">
      <alignment horizontal="center" vertical="top" wrapText="1"/>
    </xf>
    <xf numFmtId="188" fontId="5" fillId="37" borderId="71" xfId="0" applyNumberFormat="1" applyFont="1" applyFill="1" applyBorder="1" applyAlignment="1">
      <alignment horizontal="center" vertical="top" wrapText="1"/>
    </xf>
    <xf numFmtId="188" fontId="5" fillId="37" borderId="49" xfId="0" applyNumberFormat="1" applyFont="1" applyFill="1" applyBorder="1" applyAlignment="1">
      <alignment horizontal="center" vertical="top" wrapText="1"/>
    </xf>
    <xf numFmtId="188" fontId="5" fillId="37" borderId="78" xfId="0" applyNumberFormat="1" applyFont="1" applyFill="1" applyBorder="1" applyAlignment="1">
      <alignment horizontal="center" vertical="top" wrapText="1"/>
    </xf>
    <xf numFmtId="188" fontId="5" fillId="37" borderId="74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J17" sqref="J17"/>
    </sheetView>
  </sheetViews>
  <sheetFormatPr defaultColWidth="9.140625" defaultRowHeight="12.75"/>
  <cols>
    <col min="1" max="1" width="34.421875" style="0" customWidth="1"/>
    <col min="2" max="2" width="12.7109375" style="0" customWidth="1"/>
    <col min="3" max="3" width="11.8515625" style="0" customWidth="1"/>
    <col min="4" max="4" width="12.8515625" style="0" customWidth="1"/>
    <col min="5" max="5" width="10.421875" style="0" customWidth="1"/>
    <col min="6" max="6" width="11.28125" style="0" customWidth="1"/>
  </cols>
  <sheetData>
    <row r="1" spans="1:6" s="28" customFormat="1" ht="13.5" customHeight="1">
      <c r="A1" s="259" t="s">
        <v>123</v>
      </c>
      <c r="B1" s="260"/>
      <c r="C1" s="260"/>
      <c r="D1" s="260"/>
      <c r="E1" s="260"/>
      <c r="F1" s="27"/>
    </row>
    <row r="2" spans="1:6" s="28" customFormat="1" ht="13.5" customHeight="1">
      <c r="A2" s="145"/>
      <c r="B2" s="146"/>
      <c r="C2" s="146"/>
      <c r="D2" s="146"/>
      <c r="E2" s="146"/>
      <c r="F2" s="27"/>
    </row>
    <row r="3" spans="1:6" s="28" customFormat="1" ht="14.25" thickBot="1">
      <c r="A3" s="29"/>
      <c r="B3" s="29"/>
      <c r="C3" s="29"/>
      <c r="D3" s="29"/>
      <c r="E3" s="29"/>
      <c r="F3" s="29" t="s">
        <v>134</v>
      </c>
    </row>
    <row r="4" spans="1:6" s="28" customFormat="1" ht="13.5">
      <c r="A4" s="261" t="s">
        <v>43</v>
      </c>
      <c r="B4" s="263" t="s">
        <v>167</v>
      </c>
      <c r="C4" s="263" t="s">
        <v>179</v>
      </c>
      <c r="D4" s="263" t="s">
        <v>180</v>
      </c>
      <c r="E4" s="263" t="s">
        <v>168</v>
      </c>
      <c r="F4" s="257" t="s">
        <v>181</v>
      </c>
    </row>
    <row r="5" spans="1:6" s="28" customFormat="1" ht="13.5">
      <c r="A5" s="262"/>
      <c r="B5" s="264"/>
      <c r="C5" s="264"/>
      <c r="D5" s="264"/>
      <c r="E5" s="264"/>
      <c r="F5" s="258"/>
    </row>
    <row r="6" spans="1:6" s="28" customFormat="1" ht="6.75" customHeight="1">
      <c r="A6" s="262"/>
      <c r="B6" s="264"/>
      <c r="C6" s="264"/>
      <c r="D6" s="264"/>
      <c r="E6" s="264"/>
      <c r="F6" s="258"/>
    </row>
    <row r="7" spans="1:6" s="28" customFormat="1" ht="15.75" customHeight="1">
      <c r="A7" s="102" t="s">
        <v>44</v>
      </c>
      <c r="B7" s="103">
        <f>B8+B10</f>
        <v>11118.8</v>
      </c>
      <c r="C7" s="103">
        <f>C8+C10</f>
        <v>13216.400000000001</v>
      </c>
      <c r="D7" s="103">
        <f>D8+D10</f>
        <v>0</v>
      </c>
      <c r="E7" s="103">
        <f>E11</f>
        <v>13325.5</v>
      </c>
      <c r="F7" s="104">
        <f>F11</f>
        <v>13433</v>
      </c>
    </row>
    <row r="8" spans="1:6" s="28" customFormat="1" ht="19.5" customHeight="1">
      <c r="A8" s="32" t="s">
        <v>45</v>
      </c>
      <c r="B8" s="30">
        <f>Priemonės!K185</f>
        <v>10902.4</v>
      </c>
      <c r="C8" s="30">
        <f>Priemonės!O185</f>
        <v>12842.500000000002</v>
      </c>
      <c r="D8" s="105">
        <f>Priemonės!S185</f>
        <v>0</v>
      </c>
      <c r="E8" s="30"/>
      <c r="F8" s="31"/>
    </row>
    <row r="9" spans="1:6" s="28" customFormat="1" ht="19.5" customHeight="1">
      <c r="A9" s="32" t="s">
        <v>46</v>
      </c>
      <c r="B9" s="30">
        <f>Priemonės!L184</f>
        <v>6725.999999999999</v>
      </c>
      <c r="C9" s="30">
        <f>Priemonės!P184</f>
        <v>7114.900000000001</v>
      </c>
      <c r="D9" s="105">
        <f>Priemonės!T184</f>
        <v>0</v>
      </c>
      <c r="E9" s="30"/>
      <c r="F9" s="31"/>
    </row>
    <row r="10" spans="1:6" s="28" customFormat="1" ht="33.75" customHeight="1">
      <c r="A10" s="32" t="s">
        <v>75</v>
      </c>
      <c r="B10" s="30">
        <f>Priemonės!M185</f>
        <v>216.39999999999998</v>
      </c>
      <c r="C10" s="30">
        <f>Priemonės!Q185</f>
        <v>373.9</v>
      </c>
      <c r="D10" s="105">
        <f>Priemonės!U185</f>
        <v>0</v>
      </c>
      <c r="E10" s="30"/>
      <c r="F10" s="31"/>
    </row>
    <row r="11" spans="1:6" s="28" customFormat="1" ht="24.75" customHeight="1">
      <c r="A11" s="102" t="s">
        <v>47</v>
      </c>
      <c r="B11" s="103">
        <f>B12+B19</f>
        <v>11118.8</v>
      </c>
      <c r="C11" s="103">
        <f>C12+C19</f>
        <v>13506.4</v>
      </c>
      <c r="D11" s="103">
        <f>D12+D19</f>
        <v>0</v>
      </c>
      <c r="E11" s="103">
        <f>E12+E19</f>
        <v>13325.5</v>
      </c>
      <c r="F11" s="104">
        <f>F12+F19</f>
        <v>13433</v>
      </c>
    </row>
    <row r="12" spans="1:6" s="28" customFormat="1" ht="33" customHeight="1">
      <c r="A12" s="92" t="s">
        <v>48</v>
      </c>
      <c r="B12" s="93">
        <f>B13+B14+B15+B16+B17+B18</f>
        <v>10699.8</v>
      </c>
      <c r="C12" s="93">
        <f>C13+C14+C15+C16+C17+C18</f>
        <v>12775.8</v>
      </c>
      <c r="D12" s="93">
        <f>D13+D14+D15+D16+D17+D18</f>
        <v>0</v>
      </c>
      <c r="E12" s="93">
        <f>E13+E14+E15+E16+E17+E18</f>
        <v>12715.2</v>
      </c>
      <c r="F12" s="93">
        <f>F13+F14+F15+F16+F17+F18</f>
        <v>13116.2</v>
      </c>
    </row>
    <row r="13" spans="1:6" s="28" customFormat="1" ht="22.5" customHeight="1">
      <c r="A13" s="32" t="s">
        <v>137</v>
      </c>
      <c r="B13" s="30">
        <f>Priemonės!G190</f>
        <v>4747.799999999999</v>
      </c>
      <c r="C13" s="30">
        <f>Priemonės!J190</f>
        <v>6713.199999999999</v>
      </c>
      <c r="D13" s="105">
        <f>Priemonės!M190</f>
        <v>0</v>
      </c>
      <c r="E13" s="30">
        <f>Priemonės!P190</f>
        <v>6425</v>
      </c>
      <c r="F13" s="31">
        <f>Priemonės!S190</f>
        <v>6680</v>
      </c>
    </row>
    <row r="14" spans="1:6" s="28" customFormat="1" ht="31.5" customHeight="1">
      <c r="A14" s="95" t="s">
        <v>138</v>
      </c>
      <c r="B14" s="30">
        <f>Priemonės!G191</f>
        <v>263.20000000000005</v>
      </c>
      <c r="C14" s="30">
        <f>Priemonės!J191</f>
        <v>279.79999999999995</v>
      </c>
      <c r="D14" s="105">
        <f>Priemonės!M191</f>
        <v>0</v>
      </c>
      <c r="E14" s="30">
        <f>Priemonės!P191</f>
        <v>272.3</v>
      </c>
      <c r="F14" s="31">
        <f>Priemonės!S191</f>
        <v>272.3</v>
      </c>
    </row>
    <row r="15" spans="1:6" s="28" customFormat="1" ht="29.25" customHeight="1">
      <c r="A15" s="95" t="s">
        <v>139</v>
      </c>
      <c r="B15" s="30">
        <f>Priemonės!G192</f>
        <v>12.899999999999999</v>
      </c>
      <c r="C15" s="30">
        <f>Priemonės!J192</f>
        <v>11.9</v>
      </c>
      <c r="D15" s="105">
        <f>Priemonės!M192</f>
        <v>0</v>
      </c>
      <c r="E15" s="30">
        <f>Priemonės!P192</f>
        <v>6.9</v>
      </c>
      <c r="F15" s="31">
        <f>Priemonės!S192</f>
        <v>6.9</v>
      </c>
    </row>
    <row r="16" spans="1:6" s="28" customFormat="1" ht="30.75" customHeight="1">
      <c r="A16" s="32" t="s">
        <v>140</v>
      </c>
      <c r="B16" s="30">
        <f>Priemonės!G193</f>
        <v>14</v>
      </c>
      <c r="C16" s="30">
        <f>Priemonės!J193</f>
        <v>15.6</v>
      </c>
      <c r="D16" s="105">
        <f>Priemonės!M193</f>
        <v>0</v>
      </c>
      <c r="E16" s="30">
        <f>Priemonės!P193</f>
        <v>16</v>
      </c>
      <c r="F16" s="31">
        <f>Priemonės!S193</f>
        <v>16</v>
      </c>
    </row>
    <row r="17" spans="1:6" s="28" customFormat="1" ht="48" customHeight="1">
      <c r="A17" s="32" t="s">
        <v>141</v>
      </c>
      <c r="B17" s="30">
        <f>Priemonės!G194</f>
        <v>5661.9</v>
      </c>
      <c r="C17" s="30">
        <f>Priemonės!J194</f>
        <v>5755.3</v>
      </c>
      <c r="D17" s="105">
        <f>Priemonės!M194</f>
        <v>0</v>
      </c>
      <c r="E17" s="30">
        <f>Priemonės!P194</f>
        <v>5995</v>
      </c>
      <c r="F17" s="31">
        <f>Priemonės!S194</f>
        <v>6141</v>
      </c>
    </row>
    <row r="18" spans="1:6" s="28" customFormat="1" ht="31.5" customHeight="1" hidden="1">
      <c r="A18" s="133" t="s">
        <v>142</v>
      </c>
      <c r="B18" s="30">
        <f>Priemonės!G195</f>
        <v>0</v>
      </c>
      <c r="C18" s="30">
        <f>Priemonės!J195</f>
        <v>0</v>
      </c>
      <c r="D18" s="105">
        <f>Priemonės!J195</f>
        <v>0</v>
      </c>
      <c r="E18" s="30">
        <f>Priemonės!K195</f>
        <v>0</v>
      </c>
      <c r="F18" s="31">
        <f>Priemonės!L195</f>
        <v>0</v>
      </c>
    </row>
    <row r="19" spans="1:6" s="28" customFormat="1" ht="21.75" customHeight="1">
      <c r="A19" s="92" t="s">
        <v>49</v>
      </c>
      <c r="B19" s="93">
        <f>B20+B21+B22+B23+B24+B26+B27</f>
        <v>418.99999999999994</v>
      </c>
      <c r="C19" s="93">
        <f>C20+C21+C22+C23+C24+C26+C27</f>
        <v>730.6</v>
      </c>
      <c r="D19" s="93">
        <f>D20+D21+D22+D23+D24+D26+D27</f>
        <v>0</v>
      </c>
      <c r="E19" s="93">
        <f>E20+E21+E22+E23+E24+E26+E27</f>
        <v>610.3</v>
      </c>
      <c r="F19" s="93">
        <f>F20+F21+F22+F23+F24+F26+F27</f>
        <v>316.8</v>
      </c>
    </row>
    <row r="20" spans="1:6" s="28" customFormat="1" ht="45.75" customHeight="1" hidden="1">
      <c r="A20" s="133" t="s">
        <v>143</v>
      </c>
      <c r="B20" s="30">
        <f>Priemonės!G197</f>
        <v>0</v>
      </c>
      <c r="C20" s="30">
        <f>Priemonės!J197</f>
        <v>0</v>
      </c>
      <c r="D20" s="105">
        <f>Priemonės!M197</f>
        <v>0</v>
      </c>
      <c r="E20" s="30">
        <f>Priemonės!P197</f>
        <v>0</v>
      </c>
      <c r="F20" s="31">
        <f>Priemonės!S197</f>
        <v>0</v>
      </c>
    </row>
    <row r="21" spans="1:6" s="28" customFormat="1" ht="30.75" customHeight="1" hidden="1">
      <c r="A21" s="144" t="s">
        <v>144</v>
      </c>
      <c r="B21" s="30">
        <f>Priemonės!G198</f>
        <v>0</v>
      </c>
      <c r="C21" s="30">
        <f>Priemonės!J198</f>
        <v>0</v>
      </c>
      <c r="D21" s="105">
        <f>Priemonės!M198</f>
        <v>0</v>
      </c>
      <c r="E21" s="30">
        <f>Priemonės!P198</f>
        <v>0</v>
      </c>
      <c r="F21" s="31">
        <f>Priemonės!S198</f>
        <v>0</v>
      </c>
    </row>
    <row r="22" spans="1:6" s="28" customFormat="1" ht="30" customHeight="1">
      <c r="A22" s="32" t="s">
        <v>145</v>
      </c>
      <c r="B22" s="30">
        <f>Priemonės!G199</f>
        <v>26</v>
      </c>
      <c r="C22" s="30">
        <f>Priemonės!J199</f>
        <v>396.2</v>
      </c>
      <c r="D22" s="105">
        <f>Priemonės!M199</f>
        <v>0</v>
      </c>
      <c r="E22" s="30">
        <f>Priemonės!P199</f>
        <v>552.5</v>
      </c>
      <c r="F22" s="31">
        <f>Priemonės!S199</f>
        <v>296.8</v>
      </c>
    </row>
    <row r="23" spans="1:6" s="28" customFormat="1" ht="30" customHeight="1" hidden="1">
      <c r="A23" s="32" t="s">
        <v>146</v>
      </c>
      <c r="B23" s="30">
        <f>Priemonės!G200</f>
        <v>0</v>
      </c>
      <c r="C23" s="30">
        <f>Priemonės!J200</f>
        <v>0</v>
      </c>
      <c r="D23" s="105">
        <f>Priemonės!M200</f>
        <v>0</v>
      </c>
      <c r="E23" s="30">
        <f>Priemonės!P200</f>
        <v>0</v>
      </c>
      <c r="F23" s="31">
        <f>Priemonės!S200</f>
        <v>0</v>
      </c>
    </row>
    <row r="24" spans="1:6" s="28" customFormat="1" ht="21.75" customHeight="1" hidden="1">
      <c r="A24" s="32" t="s">
        <v>147</v>
      </c>
      <c r="B24" s="30">
        <f>Priemonės!G201</f>
        <v>368.79999999999995</v>
      </c>
      <c r="C24" s="30">
        <f>Priemonės!J201</f>
        <v>300.7</v>
      </c>
      <c r="D24" s="105">
        <f>Priemonės!M201</f>
        <v>0</v>
      </c>
      <c r="E24" s="30">
        <f>Priemonės!P201</f>
        <v>17.8</v>
      </c>
      <c r="F24" s="31">
        <f>Priemonės!S201</f>
        <v>10</v>
      </c>
    </row>
    <row r="25" spans="1:6" s="28" customFormat="1" ht="21.75" customHeight="1">
      <c r="A25" s="32" t="s">
        <v>165</v>
      </c>
      <c r="B25" s="30">
        <f>Priemonės!G201</f>
        <v>368.79999999999995</v>
      </c>
      <c r="C25" s="30">
        <f>Priemonės!J201</f>
        <v>300.7</v>
      </c>
      <c r="D25" s="105">
        <f>Priemonės!M201</f>
        <v>0</v>
      </c>
      <c r="E25" s="30"/>
      <c r="F25" s="31"/>
    </row>
    <row r="26" spans="1:6" s="28" customFormat="1" ht="18.75" customHeight="1">
      <c r="A26" s="32" t="s">
        <v>148</v>
      </c>
      <c r="B26" s="30">
        <f>Priemonės!G202</f>
        <v>24.2</v>
      </c>
      <c r="C26" s="30">
        <f>Priemonės!J202</f>
        <v>33.7</v>
      </c>
      <c r="D26" s="105">
        <f>Priemonės!M202</f>
        <v>0</v>
      </c>
      <c r="E26" s="30">
        <f>Priemonės!P202</f>
        <v>40</v>
      </c>
      <c r="F26" s="31">
        <f>Priemonės!S202</f>
        <v>10</v>
      </c>
    </row>
    <row r="27" spans="1:6" s="28" customFormat="1" ht="21" customHeight="1" thickBot="1">
      <c r="A27" s="33" t="s">
        <v>149</v>
      </c>
      <c r="B27" s="34">
        <f>Priemonės!G203</f>
        <v>0</v>
      </c>
      <c r="C27" s="34"/>
      <c r="D27" s="106">
        <f>Priemonės!M203</f>
        <v>0</v>
      </c>
      <c r="E27" s="34">
        <f>Priemonės!P203</f>
        <v>0</v>
      </c>
      <c r="F27" s="35">
        <f>Priemonės!S203</f>
        <v>0</v>
      </c>
    </row>
    <row r="28" spans="1:6" s="28" customFormat="1" ht="13.5">
      <c r="A28" s="29"/>
      <c r="B28" s="29"/>
      <c r="C28" s="29"/>
      <c r="D28" s="29"/>
      <c r="E28" s="29"/>
      <c r="F28" s="29"/>
    </row>
    <row r="29" spans="1:6" s="28" customFormat="1" ht="13.5">
      <c r="A29" s="29"/>
      <c r="B29" s="29"/>
      <c r="C29" s="29"/>
      <c r="D29" s="29"/>
      <c r="E29" s="29"/>
      <c r="F29" s="29"/>
    </row>
    <row r="30" spans="1:6" s="28" customFormat="1" ht="13.5">
      <c r="A30" s="29"/>
      <c r="B30" s="29"/>
      <c r="C30" s="29"/>
      <c r="D30" s="29"/>
      <c r="E30" s="29"/>
      <c r="F30" s="29"/>
    </row>
  </sheetData>
  <sheetProtection/>
  <mergeCells count="7">
    <mergeCell ref="F4:F6"/>
    <mergeCell ref="A1:E1"/>
    <mergeCell ref="A4:A6"/>
    <mergeCell ref="B4:B6"/>
    <mergeCell ref="C4:C6"/>
    <mergeCell ref="D4:D6"/>
    <mergeCell ref="E4:E6"/>
  </mergeCells>
  <printOptions/>
  <pageMargins left="0.7480314960629921" right="0" top="0.551181102362204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8"/>
  <sheetViews>
    <sheetView showZero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2.57421875" style="2" customWidth="1"/>
    <col min="3" max="3" width="2.28125" style="2" customWidth="1"/>
    <col min="4" max="4" width="25.7109375" style="3" customWidth="1"/>
    <col min="5" max="5" width="3.140625" style="2" customWidth="1"/>
    <col min="6" max="6" width="3.28125" style="41" customWidth="1"/>
    <col min="7" max="7" width="7.28125" style="41" customWidth="1"/>
    <col min="8" max="8" width="4.00390625" style="2" customWidth="1"/>
    <col min="9" max="9" width="6.57421875" style="4" customWidth="1"/>
    <col min="10" max="10" width="6.421875" style="2" customWidth="1"/>
    <col min="11" max="11" width="6.57421875" style="2" customWidth="1"/>
    <col min="12" max="12" width="6.7109375" style="2" customWidth="1"/>
    <col min="13" max="13" width="6.00390625" style="2" customWidth="1"/>
    <col min="14" max="14" width="6.8515625" style="2" customWidth="1"/>
    <col min="15" max="15" width="6.421875" style="2" customWidth="1"/>
    <col min="16" max="16" width="6.57421875" style="2" customWidth="1"/>
    <col min="17" max="17" width="6.00390625" style="2" customWidth="1"/>
    <col min="18" max="18" width="6.7109375" style="2" customWidth="1"/>
    <col min="19" max="19" width="6.57421875" style="2" customWidth="1"/>
    <col min="20" max="20" width="7.00390625" style="2" customWidth="1"/>
    <col min="21" max="21" width="6.00390625" style="2" customWidth="1"/>
    <col min="22" max="22" width="7.00390625" style="199" customWidth="1"/>
    <col min="23" max="23" width="6.8515625" style="199" customWidth="1"/>
    <col min="24" max="16384" width="9.140625" style="1" customWidth="1"/>
  </cols>
  <sheetData>
    <row r="1" spans="4:23" ht="12.75">
      <c r="D1" s="2"/>
      <c r="F1" s="2"/>
      <c r="G1" s="2"/>
      <c r="R1" s="550" t="s">
        <v>190</v>
      </c>
      <c r="S1" s="550"/>
      <c r="T1" s="550"/>
      <c r="V1" s="2"/>
      <c r="W1" s="2"/>
    </row>
    <row r="2" spans="4:23" ht="12.75">
      <c r="D2" s="2"/>
      <c r="F2" s="2"/>
      <c r="G2" s="2"/>
      <c r="R2" s="550" t="s">
        <v>191</v>
      </c>
      <c r="S2" s="550"/>
      <c r="T2" s="550"/>
      <c r="V2" s="2"/>
      <c r="W2" s="2"/>
    </row>
    <row r="3" spans="4:23" ht="12.75">
      <c r="D3" s="2"/>
      <c r="F3" s="2"/>
      <c r="G3" s="2"/>
      <c r="R3" s="550"/>
      <c r="S3" s="550"/>
      <c r="T3" s="550"/>
      <c r="V3" s="2"/>
      <c r="W3" s="2"/>
    </row>
    <row r="4" spans="4:23" ht="12.75">
      <c r="D4" s="246"/>
      <c r="F4" s="246"/>
      <c r="G4" s="246"/>
      <c r="R4" s="247" t="s">
        <v>126</v>
      </c>
      <c r="S4" s="247"/>
      <c r="T4" s="247"/>
      <c r="U4" s="247"/>
      <c r="V4" s="247"/>
      <c r="W4" s="2"/>
    </row>
    <row r="5" spans="1:23" ht="25.5" customHeight="1">
      <c r="A5" s="410" t="s">
        <v>189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</row>
    <row r="6" spans="1:27" ht="12" customHeight="1">
      <c r="A6" s="422" t="s">
        <v>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56"/>
      <c r="Y6" s="56"/>
      <c r="Z6" s="56"/>
      <c r="AA6" s="56"/>
    </row>
    <row r="7" spans="4:23" ht="11.25" customHeight="1" thickBot="1">
      <c r="D7" s="246"/>
      <c r="F7" s="246"/>
      <c r="G7" s="246"/>
      <c r="V7" s="2" t="s">
        <v>134</v>
      </c>
      <c r="W7" s="2"/>
    </row>
    <row r="8" spans="1:23" ht="24.75" customHeight="1">
      <c r="A8" s="412" t="s">
        <v>0</v>
      </c>
      <c r="B8" s="413" t="s">
        <v>1</v>
      </c>
      <c r="C8" s="413" t="s">
        <v>2</v>
      </c>
      <c r="D8" s="416" t="s">
        <v>3</v>
      </c>
      <c r="E8" s="413" t="s">
        <v>4</v>
      </c>
      <c r="F8" s="413" t="s">
        <v>5</v>
      </c>
      <c r="G8" s="317" t="s">
        <v>80</v>
      </c>
      <c r="H8" s="413" t="s">
        <v>6</v>
      </c>
      <c r="I8" s="423" t="s">
        <v>7</v>
      </c>
      <c r="J8" s="314" t="s">
        <v>176</v>
      </c>
      <c r="K8" s="315"/>
      <c r="L8" s="315"/>
      <c r="M8" s="316"/>
      <c r="N8" s="314" t="s">
        <v>177</v>
      </c>
      <c r="O8" s="315"/>
      <c r="P8" s="315"/>
      <c r="Q8" s="316"/>
      <c r="R8" s="314" t="s">
        <v>184</v>
      </c>
      <c r="S8" s="315"/>
      <c r="T8" s="315"/>
      <c r="U8" s="316"/>
      <c r="V8" s="433" t="s">
        <v>166</v>
      </c>
      <c r="W8" s="429" t="s">
        <v>178</v>
      </c>
    </row>
    <row r="9" spans="1:23" ht="15" customHeight="1">
      <c r="A9" s="320"/>
      <c r="B9" s="414"/>
      <c r="C9" s="414"/>
      <c r="D9" s="417"/>
      <c r="E9" s="414"/>
      <c r="F9" s="414"/>
      <c r="G9" s="318"/>
      <c r="H9" s="414"/>
      <c r="I9" s="424"/>
      <c r="J9" s="320" t="s">
        <v>8</v>
      </c>
      <c r="K9" s="432" t="s">
        <v>9</v>
      </c>
      <c r="L9" s="432"/>
      <c r="M9" s="322" t="s">
        <v>76</v>
      </c>
      <c r="N9" s="320" t="s">
        <v>8</v>
      </c>
      <c r="O9" s="432" t="s">
        <v>9</v>
      </c>
      <c r="P9" s="432"/>
      <c r="Q9" s="322" t="s">
        <v>76</v>
      </c>
      <c r="R9" s="320" t="s">
        <v>8</v>
      </c>
      <c r="S9" s="432" t="s">
        <v>9</v>
      </c>
      <c r="T9" s="432"/>
      <c r="U9" s="322" t="s">
        <v>76</v>
      </c>
      <c r="V9" s="434"/>
      <c r="W9" s="430"/>
    </row>
    <row r="10" spans="1:23" ht="84.75" customHeight="1" thickBot="1">
      <c r="A10" s="321"/>
      <c r="B10" s="415"/>
      <c r="C10" s="415"/>
      <c r="D10" s="418"/>
      <c r="E10" s="415"/>
      <c r="F10" s="415"/>
      <c r="G10" s="319"/>
      <c r="H10" s="415"/>
      <c r="I10" s="425"/>
      <c r="J10" s="321"/>
      <c r="K10" s="101" t="s">
        <v>8</v>
      </c>
      <c r="L10" s="85" t="s">
        <v>10</v>
      </c>
      <c r="M10" s="323"/>
      <c r="N10" s="321"/>
      <c r="O10" s="96" t="s">
        <v>8</v>
      </c>
      <c r="P10" s="85" t="s">
        <v>10</v>
      </c>
      <c r="Q10" s="323"/>
      <c r="R10" s="321"/>
      <c r="S10" s="96" t="s">
        <v>8</v>
      </c>
      <c r="T10" s="85" t="s">
        <v>10</v>
      </c>
      <c r="U10" s="323"/>
      <c r="V10" s="435"/>
      <c r="W10" s="431"/>
    </row>
    <row r="11" spans="1:23" ht="7.5" customHeight="1" thickBot="1">
      <c r="A11" s="541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3"/>
    </row>
    <row r="12" spans="1:23" ht="14.25" customHeight="1" thickBot="1">
      <c r="A12" s="311" t="s">
        <v>157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3"/>
    </row>
    <row r="13" spans="1:25" ht="15" customHeight="1" thickBot="1">
      <c r="A13" s="426" t="s">
        <v>79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8"/>
      <c r="Y13" s="5"/>
    </row>
    <row r="14" spans="1:23" ht="15" customHeight="1" thickBot="1">
      <c r="A14" s="6" t="s">
        <v>11</v>
      </c>
      <c r="B14" s="438" t="s">
        <v>158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9"/>
    </row>
    <row r="15" spans="1:23" ht="14.25" customHeight="1" thickBot="1">
      <c r="A15" s="7" t="s">
        <v>11</v>
      </c>
      <c r="B15" s="8" t="s">
        <v>11</v>
      </c>
      <c r="C15" s="419" t="s">
        <v>161</v>
      </c>
      <c r="D15" s="352"/>
      <c r="E15" s="352"/>
      <c r="F15" s="352"/>
      <c r="G15" s="352"/>
      <c r="H15" s="352"/>
      <c r="I15" s="420"/>
      <c r="J15" s="420"/>
      <c r="K15" s="420"/>
      <c r="L15" s="420"/>
      <c r="M15" s="420"/>
      <c r="N15" s="352"/>
      <c r="O15" s="352"/>
      <c r="P15" s="352"/>
      <c r="Q15" s="352"/>
      <c r="R15" s="420"/>
      <c r="S15" s="420"/>
      <c r="T15" s="420"/>
      <c r="U15" s="420"/>
      <c r="V15" s="352"/>
      <c r="W15" s="421"/>
    </row>
    <row r="16" spans="1:26" ht="13.5" customHeight="1">
      <c r="A16" s="344" t="s">
        <v>11</v>
      </c>
      <c r="B16" s="346" t="s">
        <v>11</v>
      </c>
      <c r="C16" s="436" t="s">
        <v>11</v>
      </c>
      <c r="D16" s="437" t="s">
        <v>133</v>
      </c>
      <c r="E16" s="409"/>
      <c r="F16" s="408" t="s">
        <v>12</v>
      </c>
      <c r="G16" s="299" t="s">
        <v>86</v>
      </c>
      <c r="H16" s="308" t="s">
        <v>84</v>
      </c>
      <c r="I16" s="19" t="s">
        <v>14</v>
      </c>
      <c r="J16" s="48">
        <f>K16+M16</f>
        <v>313.4</v>
      </c>
      <c r="K16" s="49">
        <v>313.4</v>
      </c>
      <c r="L16" s="49">
        <v>132.8</v>
      </c>
      <c r="M16" s="60"/>
      <c r="N16" s="61">
        <f>O16+Q16</f>
        <v>478.7</v>
      </c>
      <c r="O16" s="15">
        <v>478.7</v>
      </c>
      <c r="P16" s="15">
        <v>154.5</v>
      </c>
      <c r="Q16" s="50"/>
      <c r="R16" s="114">
        <f>S16+U16</f>
        <v>0</v>
      </c>
      <c r="S16" s="115"/>
      <c r="T16" s="115"/>
      <c r="U16" s="116"/>
      <c r="V16" s="217">
        <v>490</v>
      </c>
      <c r="W16" s="218">
        <v>505</v>
      </c>
      <c r="Y16" s="58"/>
      <c r="Z16" s="63"/>
    </row>
    <row r="17" spans="1:26" ht="13.5" customHeight="1">
      <c r="A17" s="380"/>
      <c r="B17" s="365"/>
      <c r="C17" s="379"/>
      <c r="D17" s="374"/>
      <c r="E17" s="349"/>
      <c r="F17" s="392"/>
      <c r="G17" s="300"/>
      <c r="H17" s="309"/>
      <c r="I17" s="20" t="s">
        <v>73</v>
      </c>
      <c r="J17" s="14">
        <f>K17+M17</f>
        <v>821.4</v>
      </c>
      <c r="K17" s="15">
        <f>821.4-25</f>
        <v>796.4</v>
      </c>
      <c r="L17" s="15">
        <f>564.7</f>
        <v>564.7</v>
      </c>
      <c r="M17" s="16">
        <v>25</v>
      </c>
      <c r="N17" s="47">
        <f>O17+Q17</f>
        <v>824.6</v>
      </c>
      <c r="O17" s="15">
        <v>824.6</v>
      </c>
      <c r="P17" s="15">
        <v>615</v>
      </c>
      <c r="Q17" s="37"/>
      <c r="R17" s="117">
        <f>S17+U17</f>
        <v>0</v>
      </c>
      <c r="S17" s="118"/>
      <c r="T17" s="118"/>
      <c r="U17" s="119"/>
      <c r="V17" s="219">
        <v>880</v>
      </c>
      <c r="W17" s="220">
        <v>920</v>
      </c>
      <c r="Y17" s="58"/>
      <c r="Z17" s="63"/>
    </row>
    <row r="18" spans="1:26" ht="12" customHeight="1">
      <c r="A18" s="380"/>
      <c r="B18" s="365"/>
      <c r="C18" s="379"/>
      <c r="D18" s="374"/>
      <c r="E18" s="349"/>
      <c r="F18" s="392"/>
      <c r="G18" s="300"/>
      <c r="H18" s="309"/>
      <c r="I18" s="20" t="s">
        <v>164</v>
      </c>
      <c r="J18" s="14"/>
      <c r="K18" s="15"/>
      <c r="L18" s="15"/>
      <c r="M18" s="16"/>
      <c r="N18" s="47"/>
      <c r="O18" s="15"/>
      <c r="P18" s="15"/>
      <c r="Q18" s="37"/>
      <c r="R18" s="117"/>
      <c r="S18" s="118"/>
      <c r="T18" s="118"/>
      <c r="U18" s="119"/>
      <c r="V18" s="219"/>
      <c r="W18" s="220"/>
      <c r="Y18" s="58"/>
      <c r="Z18" s="63"/>
    </row>
    <row r="19" spans="1:26" ht="12.75" customHeight="1">
      <c r="A19" s="380"/>
      <c r="B19" s="365"/>
      <c r="C19" s="379"/>
      <c r="D19" s="374"/>
      <c r="E19" s="349"/>
      <c r="F19" s="392"/>
      <c r="G19" s="300"/>
      <c r="H19" s="309"/>
      <c r="I19" s="20" t="s">
        <v>19</v>
      </c>
      <c r="J19" s="14">
        <f>K19+M19</f>
        <v>0.4</v>
      </c>
      <c r="K19" s="15">
        <v>0.4</v>
      </c>
      <c r="L19" s="15"/>
      <c r="M19" s="16"/>
      <c r="N19" s="47">
        <f>O19+Q19</f>
        <v>0.7</v>
      </c>
      <c r="O19" s="15">
        <v>0.7</v>
      </c>
      <c r="P19" s="15"/>
      <c r="Q19" s="37"/>
      <c r="R19" s="117">
        <f>S19+U19</f>
        <v>0</v>
      </c>
      <c r="S19" s="118"/>
      <c r="T19" s="118"/>
      <c r="U19" s="119"/>
      <c r="V19" s="219">
        <v>2</v>
      </c>
      <c r="W19" s="220">
        <v>2</v>
      </c>
      <c r="Y19" s="58"/>
      <c r="Z19" s="63"/>
    </row>
    <row r="20" spans="1:26" ht="13.5" customHeight="1">
      <c r="A20" s="380"/>
      <c r="B20" s="365"/>
      <c r="C20" s="379"/>
      <c r="D20" s="374"/>
      <c r="E20" s="349"/>
      <c r="F20" s="392"/>
      <c r="G20" s="300"/>
      <c r="H20" s="309"/>
      <c r="I20" s="20" t="s">
        <v>70</v>
      </c>
      <c r="J20" s="14">
        <f>K20+M20</f>
        <v>5</v>
      </c>
      <c r="K20" s="15">
        <v>5</v>
      </c>
      <c r="L20" s="68"/>
      <c r="M20" s="69"/>
      <c r="N20" s="47">
        <f>O20+Q20</f>
        <v>5</v>
      </c>
      <c r="O20" s="15">
        <v>5</v>
      </c>
      <c r="P20" s="68"/>
      <c r="Q20" s="70"/>
      <c r="R20" s="117">
        <f>S20+U20</f>
        <v>0</v>
      </c>
      <c r="S20" s="118"/>
      <c r="T20" s="120"/>
      <c r="U20" s="121"/>
      <c r="V20" s="221">
        <v>5</v>
      </c>
      <c r="W20" s="222">
        <v>5</v>
      </c>
      <c r="Y20" s="58"/>
      <c r="Z20" s="63"/>
    </row>
    <row r="21" spans="1:26" ht="13.5" customHeight="1" thickBot="1">
      <c r="A21" s="345"/>
      <c r="B21" s="347"/>
      <c r="C21" s="341"/>
      <c r="D21" s="396"/>
      <c r="E21" s="336"/>
      <c r="F21" s="387"/>
      <c r="G21" s="301"/>
      <c r="H21" s="310"/>
      <c r="I21" s="107" t="s">
        <v>15</v>
      </c>
      <c r="J21" s="108">
        <f>M21+K21</f>
        <v>1140.2</v>
      </c>
      <c r="K21" s="109">
        <f>K17+K16+K19+K20</f>
        <v>1115.2</v>
      </c>
      <c r="L21" s="109">
        <f>L17+L16+L19+L20</f>
        <v>697.5</v>
      </c>
      <c r="M21" s="110">
        <f>M19+M17+M16</f>
        <v>25</v>
      </c>
      <c r="N21" s="111">
        <f>Q21+O21</f>
        <v>1309</v>
      </c>
      <c r="O21" s="109">
        <f>O17+O16+O19+O20</f>
        <v>1309</v>
      </c>
      <c r="P21" s="109">
        <f>P17+P16+P19+P20</f>
        <v>769.5</v>
      </c>
      <c r="Q21" s="112">
        <f>Q19+Q17+Q16</f>
        <v>0</v>
      </c>
      <c r="R21" s="108">
        <f>U21+S21</f>
        <v>0</v>
      </c>
      <c r="S21" s="109">
        <f>S17+S16+S19+S20</f>
        <v>0</v>
      </c>
      <c r="T21" s="109">
        <f>T17+T16+T19+T20</f>
        <v>0</v>
      </c>
      <c r="U21" s="110">
        <f>U19+U17+U16</f>
        <v>0</v>
      </c>
      <c r="V21" s="223">
        <f>V17+V16+V19+V20</f>
        <v>1377</v>
      </c>
      <c r="W21" s="224">
        <f>W19+W17+W16+W20</f>
        <v>1432</v>
      </c>
      <c r="X21" s="9"/>
      <c r="Y21" s="25"/>
      <c r="Z21" s="64"/>
    </row>
    <row r="22" spans="1:26" ht="13.5" customHeight="1">
      <c r="A22" s="344" t="s">
        <v>11</v>
      </c>
      <c r="B22" s="346" t="s">
        <v>11</v>
      </c>
      <c r="C22" s="436" t="s">
        <v>24</v>
      </c>
      <c r="D22" s="437" t="s">
        <v>77</v>
      </c>
      <c r="E22" s="409"/>
      <c r="F22" s="408" t="s">
        <v>12</v>
      </c>
      <c r="G22" s="299" t="s">
        <v>87</v>
      </c>
      <c r="H22" s="391" t="s">
        <v>85</v>
      </c>
      <c r="I22" s="19" t="s">
        <v>14</v>
      </c>
      <c r="J22" s="48">
        <f>K22+M22</f>
        <v>214.5</v>
      </c>
      <c r="K22" s="49">
        <v>214.5</v>
      </c>
      <c r="L22" s="49">
        <v>102.7</v>
      </c>
      <c r="M22" s="60"/>
      <c r="N22" s="61">
        <f>O22+Q22</f>
        <v>454.7</v>
      </c>
      <c r="O22" s="49">
        <v>454.7</v>
      </c>
      <c r="P22" s="49">
        <v>121</v>
      </c>
      <c r="Q22" s="50"/>
      <c r="R22" s="114">
        <f>S22+U22</f>
        <v>0</v>
      </c>
      <c r="S22" s="115"/>
      <c r="T22" s="115"/>
      <c r="U22" s="116"/>
      <c r="V22" s="217">
        <v>570</v>
      </c>
      <c r="W22" s="218">
        <v>590</v>
      </c>
      <c r="Y22" s="25"/>
      <c r="Z22" s="65"/>
    </row>
    <row r="23" spans="1:26" ht="13.5" customHeight="1">
      <c r="A23" s="380"/>
      <c r="B23" s="365"/>
      <c r="C23" s="379"/>
      <c r="D23" s="374"/>
      <c r="E23" s="349"/>
      <c r="F23" s="392"/>
      <c r="G23" s="300"/>
      <c r="H23" s="303"/>
      <c r="I23" s="20" t="s">
        <v>73</v>
      </c>
      <c r="J23" s="14">
        <f>K23+M23</f>
        <v>428.1</v>
      </c>
      <c r="K23" s="15">
        <f>428.1-0.5</f>
        <v>427.6</v>
      </c>
      <c r="L23" s="15">
        <f>315.8</f>
        <v>315.8</v>
      </c>
      <c r="M23" s="16">
        <v>0.5</v>
      </c>
      <c r="N23" s="47">
        <f>O23+Q23</f>
        <v>452</v>
      </c>
      <c r="O23" s="15">
        <v>452</v>
      </c>
      <c r="P23" s="15">
        <v>340</v>
      </c>
      <c r="Q23" s="139"/>
      <c r="R23" s="117">
        <f>S23+U23</f>
        <v>0</v>
      </c>
      <c r="S23" s="118"/>
      <c r="T23" s="118"/>
      <c r="U23" s="119"/>
      <c r="V23" s="219">
        <v>620</v>
      </c>
      <c r="W23" s="220">
        <v>650</v>
      </c>
      <c r="Y23" s="25"/>
      <c r="Z23" s="65"/>
    </row>
    <row r="24" spans="1:26" ht="13.5" customHeight="1">
      <c r="A24" s="380"/>
      <c r="B24" s="365"/>
      <c r="C24" s="379"/>
      <c r="D24" s="374"/>
      <c r="E24" s="349"/>
      <c r="F24" s="392"/>
      <c r="G24" s="300"/>
      <c r="H24" s="303"/>
      <c r="I24" s="20" t="s">
        <v>164</v>
      </c>
      <c r="J24" s="14"/>
      <c r="K24" s="15"/>
      <c r="L24" s="15"/>
      <c r="M24" s="16"/>
      <c r="N24" s="47"/>
      <c r="O24" s="15"/>
      <c r="P24" s="15"/>
      <c r="Q24" s="37"/>
      <c r="R24" s="117">
        <f>S24+U24</f>
        <v>0</v>
      </c>
      <c r="S24" s="118"/>
      <c r="T24" s="118"/>
      <c r="U24" s="119"/>
      <c r="V24" s="219"/>
      <c r="W24" s="220"/>
      <c r="Y24" s="25"/>
      <c r="Z24" s="65"/>
    </row>
    <row r="25" spans="1:26" ht="11.25" customHeight="1">
      <c r="A25" s="380"/>
      <c r="B25" s="365"/>
      <c r="C25" s="379"/>
      <c r="D25" s="374"/>
      <c r="E25" s="349"/>
      <c r="F25" s="392"/>
      <c r="G25" s="300"/>
      <c r="H25" s="303"/>
      <c r="I25" s="20" t="s">
        <v>19</v>
      </c>
      <c r="J25" s="14">
        <f>K25+M25</f>
        <v>0</v>
      </c>
      <c r="K25" s="15"/>
      <c r="L25" s="15"/>
      <c r="M25" s="16"/>
      <c r="N25" s="47">
        <f>O25+Q25</f>
        <v>0</v>
      </c>
      <c r="O25" s="15"/>
      <c r="P25" s="15"/>
      <c r="Q25" s="37"/>
      <c r="R25" s="117">
        <f>S25+U25</f>
        <v>0</v>
      </c>
      <c r="S25" s="118"/>
      <c r="T25" s="118"/>
      <c r="U25" s="119"/>
      <c r="V25" s="219"/>
      <c r="W25" s="220"/>
      <c r="Y25" s="25"/>
      <c r="Z25" s="65"/>
    </row>
    <row r="26" spans="1:26" ht="13.5" customHeight="1">
      <c r="A26" s="380"/>
      <c r="B26" s="365"/>
      <c r="C26" s="379"/>
      <c r="D26" s="374"/>
      <c r="E26" s="349"/>
      <c r="F26" s="392"/>
      <c r="G26" s="300"/>
      <c r="H26" s="303"/>
      <c r="I26" s="20" t="s">
        <v>70</v>
      </c>
      <c r="J26" s="14">
        <f>K26+M26</f>
        <v>0</v>
      </c>
      <c r="K26" s="15"/>
      <c r="L26" s="68"/>
      <c r="M26" s="69"/>
      <c r="N26" s="47">
        <f>O26+Q26</f>
        <v>0</v>
      </c>
      <c r="O26" s="15"/>
      <c r="P26" s="68"/>
      <c r="Q26" s="70"/>
      <c r="R26" s="117">
        <f>S26+U26</f>
        <v>0</v>
      </c>
      <c r="S26" s="118"/>
      <c r="T26" s="120"/>
      <c r="U26" s="121"/>
      <c r="V26" s="221"/>
      <c r="W26" s="222"/>
      <c r="Y26" s="25"/>
      <c r="Z26" s="65"/>
    </row>
    <row r="27" spans="1:26" ht="12.75" customHeight="1" thickBot="1">
      <c r="A27" s="345"/>
      <c r="B27" s="347"/>
      <c r="C27" s="341"/>
      <c r="D27" s="396"/>
      <c r="E27" s="336"/>
      <c r="F27" s="387"/>
      <c r="G27" s="301"/>
      <c r="H27" s="304"/>
      <c r="I27" s="107" t="s">
        <v>15</v>
      </c>
      <c r="J27" s="108">
        <f>M27+K27</f>
        <v>642.6</v>
      </c>
      <c r="K27" s="109">
        <f>K23+K22+K25+K26</f>
        <v>642.1</v>
      </c>
      <c r="L27" s="109">
        <f>L23+L22+L25+L26</f>
        <v>418.5</v>
      </c>
      <c r="M27" s="110">
        <f>M25+M23+M22</f>
        <v>0.5</v>
      </c>
      <c r="N27" s="111">
        <f>Q27+O27</f>
        <v>906.7</v>
      </c>
      <c r="O27" s="109">
        <f>O23+O22+O25+O26</f>
        <v>906.7</v>
      </c>
      <c r="P27" s="109">
        <f>P23+P22+P25+P26</f>
        <v>461</v>
      </c>
      <c r="Q27" s="112">
        <f>Q25+Q23+Q22</f>
        <v>0</v>
      </c>
      <c r="R27" s="108">
        <f>U27+S27</f>
        <v>0</v>
      </c>
      <c r="S27" s="109">
        <f>S23+S22+S25+S26+S24</f>
        <v>0</v>
      </c>
      <c r="T27" s="109">
        <f>T23+T22+T25+T26+T24</f>
        <v>0</v>
      </c>
      <c r="U27" s="110">
        <f>U25+U23+U22</f>
        <v>0</v>
      </c>
      <c r="V27" s="223">
        <f>V23+V22+V25+V26</f>
        <v>1190</v>
      </c>
      <c r="W27" s="224">
        <f>W25+W23+W22+W26</f>
        <v>1240</v>
      </c>
      <c r="X27" s="9"/>
      <c r="Y27" s="25"/>
      <c r="Z27" s="62"/>
    </row>
    <row r="28" spans="1:23" ht="13.5" customHeight="1">
      <c r="A28" s="344" t="s">
        <v>11</v>
      </c>
      <c r="B28" s="346" t="s">
        <v>11</v>
      </c>
      <c r="C28" s="340" t="s">
        <v>16</v>
      </c>
      <c r="D28" s="373" t="s">
        <v>173</v>
      </c>
      <c r="E28" s="334"/>
      <c r="F28" s="384" t="s">
        <v>12</v>
      </c>
      <c r="G28" s="299" t="s">
        <v>90</v>
      </c>
      <c r="H28" s="302" t="s">
        <v>92</v>
      </c>
      <c r="I28" s="19" t="s">
        <v>14</v>
      </c>
      <c r="J28" s="48">
        <f>K28+M28</f>
        <v>285.8</v>
      </c>
      <c r="K28" s="49">
        <v>285.8</v>
      </c>
      <c r="L28" s="49">
        <v>143.4</v>
      </c>
      <c r="M28" s="60"/>
      <c r="N28" s="61">
        <f>O28+Q28</f>
        <v>334.3</v>
      </c>
      <c r="O28" s="49">
        <v>334.3</v>
      </c>
      <c r="P28" s="49">
        <v>156.9</v>
      </c>
      <c r="Q28" s="50"/>
      <c r="R28" s="114">
        <f>S28+U28</f>
        <v>0</v>
      </c>
      <c r="S28" s="115"/>
      <c r="T28" s="115"/>
      <c r="U28" s="116"/>
      <c r="V28" s="217">
        <v>350</v>
      </c>
      <c r="W28" s="218">
        <v>490</v>
      </c>
    </row>
    <row r="29" spans="1:23" ht="13.5" customHeight="1">
      <c r="A29" s="367"/>
      <c r="B29" s="369"/>
      <c r="C29" s="371"/>
      <c r="D29" s="374"/>
      <c r="E29" s="335"/>
      <c r="F29" s="385"/>
      <c r="G29" s="300"/>
      <c r="H29" s="381"/>
      <c r="I29" s="20" t="s">
        <v>73</v>
      </c>
      <c r="J29" s="14">
        <f>K29+M29</f>
        <v>396.5</v>
      </c>
      <c r="K29" s="15">
        <f>396.5</f>
        <v>396.5</v>
      </c>
      <c r="L29" s="15">
        <f>294.5</f>
        <v>294.5</v>
      </c>
      <c r="M29" s="16"/>
      <c r="N29" s="47">
        <f>O29+Q29</f>
        <v>396.6</v>
      </c>
      <c r="O29" s="15">
        <v>396.6</v>
      </c>
      <c r="P29" s="15">
        <v>297</v>
      </c>
      <c r="Q29" s="37"/>
      <c r="R29" s="117">
        <f>S29+U29</f>
        <v>0</v>
      </c>
      <c r="S29" s="118"/>
      <c r="T29" s="118"/>
      <c r="U29" s="119"/>
      <c r="V29" s="219">
        <v>420</v>
      </c>
      <c r="W29" s="220">
        <v>490</v>
      </c>
    </row>
    <row r="30" spans="1:23" ht="13.5" customHeight="1">
      <c r="A30" s="368"/>
      <c r="B30" s="370"/>
      <c r="C30" s="372"/>
      <c r="D30" s="374"/>
      <c r="E30" s="383"/>
      <c r="F30" s="386"/>
      <c r="G30" s="300"/>
      <c r="H30" s="382"/>
      <c r="I30" s="20" t="s">
        <v>164</v>
      </c>
      <c r="J30" s="14"/>
      <c r="K30" s="15"/>
      <c r="L30" s="15"/>
      <c r="M30" s="16"/>
      <c r="N30" s="47"/>
      <c r="O30" s="15"/>
      <c r="P30" s="15"/>
      <c r="Q30" s="37"/>
      <c r="R30" s="117">
        <f>S30+U30</f>
        <v>0</v>
      </c>
      <c r="S30" s="118"/>
      <c r="T30" s="118"/>
      <c r="U30" s="119"/>
      <c r="V30" s="219"/>
      <c r="W30" s="220"/>
    </row>
    <row r="31" spans="1:23" ht="13.5" customHeight="1">
      <c r="A31" s="368"/>
      <c r="B31" s="370"/>
      <c r="C31" s="372"/>
      <c r="D31" s="374"/>
      <c r="E31" s="383"/>
      <c r="F31" s="386"/>
      <c r="G31" s="300"/>
      <c r="H31" s="382"/>
      <c r="I31" s="20" t="s">
        <v>19</v>
      </c>
      <c r="J31" s="14">
        <f>K31+M31</f>
        <v>6.7</v>
      </c>
      <c r="K31" s="15">
        <v>6.7</v>
      </c>
      <c r="L31" s="15"/>
      <c r="M31" s="16"/>
      <c r="N31" s="47">
        <f>O31+Q31</f>
        <v>8.3</v>
      </c>
      <c r="O31" s="15">
        <v>8.3</v>
      </c>
      <c r="P31" s="15"/>
      <c r="Q31" s="37"/>
      <c r="R31" s="117">
        <f>S31+U31</f>
        <v>0</v>
      </c>
      <c r="S31" s="118"/>
      <c r="T31" s="118"/>
      <c r="U31" s="119"/>
      <c r="V31" s="219">
        <v>9</v>
      </c>
      <c r="W31" s="220">
        <v>9</v>
      </c>
    </row>
    <row r="32" spans="1:23" ht="12.75" customHeight="1">
      <c r="A32" s="368"/>
      <c r="B32" s="370"/>
      <c r="C32" s="372"/>
      <c r="D32" s="374"/>
      <c r="E32" s="383"/>
      <c r="F32" s="386"/>
      <c r="G32" s="300"/>
      <c r="H32" s="382"/>
      <c r="I32" s="20" t="s">
        <v>70</v>
      </c>
      <c r="J32" s="14">
        <f>K32+M32</f>
        <v>0</v>
      </c>
      <c r="K32" s="15"/>
      <c r="L32" s="68"/>
      <c r="M32" s="69"/>
      <c r="N32" s="47">
        <f>O32+Q32</f>
        <v>0</v>
      </c>
      <c r="O32" s="15"/>
      <c r="P32" s="68"/>
      <c r="Q32" s="70"/>
      <c r="R32" s="117">
        <f>S32+U32</f>
        <v>0</v>
      </c>
      <c r="S32" s="118"/>
      <c r="T32" s="120"/>
      <c r="U32" s="121"/>
      <c r="V32" s="221"/>
      <c r="W32" s="222"/>
    </row>
    <row r="33" spans="1:26" ht="13.5" customHeight="1" thickBot="1">
      <c r="A33" s="345"/>
      <c r="B33" s="347"/>
      <c r="C33" s="341"/>
      <c r="D33" s="375"/>
      <c r="E33" s="336"/>
      <c r="F33" s="387"/>
      <c r="G33" s="301"/>
      <c r="H33" s="304"/>
      <c r="I33" s="122" t="s">
        <v>15</v>
      </c>
      <c r="J33" s="108">
        <f>M33+K33</f>
        <v>689</v>
      </c>
      <c r="K33" s="109">
        <f>K29+K28+K31+K32</f>
        <v>689</v>
      </c>
      <c r="L33" s="109">
        <f>L29+L28+L31+L32</f>
        <v>437.9</v>
      </c>
      <c r="M33" s="110">
        <f>M31+M29+M28</f>
        <v>0</v>
      </c>
      <c r="N33" s="111">
        <f>Q33+O33</f>
        <v>739.2</v>
      </c>
      <c r="O33" s="109">
        <f>O29+O28+O31+O32</f>
        <v>739.2</v>
      </c>
      <c r="P33" s="109">
        <f>P29+P28+P31+P32</f>
        <v>453.9</v>
      </c>
      <c r="Q33" s="112">
        <f>Q31+Q29+Q28</f>
        <v>0</v>
      </c>
      <c r="R33" s="108">
        <f>U33+S33</f>
        <v>0</v>
      </c>
      <c r="S33" s="109">
        <f>S29+S28+S31+S32+S30</f>
        <v>0</v>
      </c>
      <c r="T33" s="109">
        <f>T29+T28+T31+T32+T30</f>
        <v>0</v>
      </c>
      <c r="U33" s="110">
        <f>U31+U29+U28</f>
        <v>0</v>
      </c>
      <c r="V33" s="223">
        <f>V29+V28+V31+V32</f>
        <v>779</v>
      </c>
      <c r="W33" s="224">
        <f>W31+W29+W28+W32</f>
        <v>989</v>
      </c>
      <c r="X33" s="58"/>
      <c r="Z33" s="10"/>
    </row>
    <row r="34" spans="1:25" ht="13.5" customHeight="1">
      <c r="A34" s="397" t="s">
        <v>11</v>
      </c>
      <c r="B34" s="399" t="s">
        <v>11</v>
      </c>
      <c r="C34" s="401" t="s">
        <v>17</v>
      </c>
      <c r="D34" s="373" t="s">
        <v>129</v>
      </c>
      <c r="E34" s="403"/>
      <c r="F34" s="405" t="s">
        <v>12</v>
      </c>
      <c r="G34" s="331" t="s">
        <v>88</v>
      </c>
      <c r="H34" s="302" t="s">
        <v>93</v>
      </c>
      <c r="I34" s="19" t="s">
        <v>14</v>
      </c>
      <c r="J34" s="48">
        <f>K34+M34</f>
        <v>309.8</v>
      </c>
      <c r="K34" s="49">
        <v>309.8</v>
      </c>
      <c r="L34" s="49">
        <v>158</v>
      </c>
      <c r="M34" s="60"/>
      <c r="N34" s="61">
        <f>O34+Q34</f>
        <v>341.5</v>
      </c>
      <c r="O34" s="49">
        <v>341.5</v>
      </c>
      <c r="P34" s="49">
        <v>161.4</v>
      </c>
      <c r="Q34" s="50"/>
      <c r="R34" s="114">
        <f>S34+U34</f>
        <v>0</v>
      </c>
      <c r="S34" s="115"/>
      <c r="T34" s="115"/>
      <c r="U34" s="116"/>
      <c r="V34" s="217">
        <v>370</v>
      </c>
      <c r="W34" s="218">
        <v>385</v>
      </c>
      <c r="Y34" s="25"/>
    </row>
    <row r="35" spans="1:25" ht="13.5" customHeight="1">
      <c r="A35" s="380"/>
      <c r="B35" s="365"/>
      <c r="C35" s="379"/>
      <c r="D35" s="374"/>
      <c r="E35" s="349"/>
      <c r="F35" s="406"/>
      <c r="G35" s="332"/>
      <c r="H35" s="303"/>
      <c r="I35" s="20" t="s">
        <v>73</v>
      </c>
      <c r="J35" s="14">
        <f>K35+M35</f>
        <v>715.8</v>
      </c>
      <c r="K35" s="15">
        <f>715.8-11.5</f>
        <v>704.3</v>
      </c>
      <c r="L35" s="15">
        <f>523.1</f>
        <v>523.1</v>
      </c>
      <c r="M35" s="16">
        <v>11.5</v>
      </c>
      <c r="N35" s="47">
        <f>O35+Q35</f>
        <v>660</v>
      </c>
      <c r="O35" s="15">
        <v>660</v>
      </c>
      <c r="P35" s="15">
        <v>497</v>
      </c>
      <c r="Q35" s="37"/>
      <c r="R35" s="117">
        <f>S35+U35</f>
        <v>0</v>
      </c>
      <c r="S35" s="118"/>
      <c r="T35" s="118"/>
      <c r="U35" s="119"/>
      <c r="V35" s="219">
        <v>690</v>
      </c>
      <c r="W35" s="220">
        <v>720</v>
      </c>
      <c r="Y35" s="25"/>
    </row>
    <row r="36" spans="1:25" ht="13.5" customHeight="1">
      <c r="A36" s="380"/>
      <c r="B36" s="365"/>
      <c r="C36" s="379"/>
      <c r="D36" s="374"/>
      <c r="E36" s="349"/>
      <c r="F36" s="406"/>
      <c r="G36" s="332"/>
      <c r="H36" s="303"/>
      <c r="I36" s="20" t="s">
        <v>164</v>
      </c>
      <c r="J36" s="14"/>
      <c r="K36" s="15"/>
      <c r="L36" s="15"/>
      <c r="M36" s="16"/>
      <c r="N36" s="47"/>
      <c r="O36" s="15"/>
      <c r="P36" s="15"/>
      <c r="Q36" s="37"/>
      <c r="R36" s="117">
        <f>S36+U36</f>
        <v>0</v>
      </c>
      <c r="S36" s="118"/>
      <c r="T36" s="118"/>
      <c r="U36" s="119"/>
      <c r="V36" s="219"/>
      <c r="W36" s="220"/>
      <c r="Y36" s="25"/>
    </row>
    <row r="37" spans="1:25" ht="11.25" customHeight="1">
      <c r="A37" s="380"/>
      <c r="B37" s="365"/>
      <c r="C37" s="379"/>
      <c r="D37" s="374"/>
      <c r="E37" s="349"/>
      <c r="F37" s="406"/>
      <c r="G37" s="332"/>
      <c r="H37" s="303"/>
      <c r="I37" s="20" t="s">
        <v>19</v>
      </c>
      <c r="J37" s="14">
        <f>K37+M37</f>
        <v>0</v>
      </c>
      <c r="K37" s="15"/>
      <c r="L37" s="15"/>
      <c r="M37" s="16"/>
      <c r="N37" s="47">
        <f>O37+Q37</f>
        <v>0</v>
      </c>
      <c r="O37" s="15"/>
      <c r="P37" s="15"/>
      <c r="Q37" s="37"/>
      <c r="R37" s="117">
        <f>S37+U37</f>
        <v>0</v>
      </c>
      <c r="S37" s="118"/>
      <c r="T37" s="118"/>
      <c r="U37" s="119"/>
      <c r="V37" s="219"/>
      <c r="W37" s="220"/>
      <c r="Y37" s="25"/>
    </row>
    <row r="38" spans="1:25" ht="13.5" customHeight="1">
      <c r="A38" s="380"/>
      <c r="B38" s="365"/>
      <c r="C38" s="379"/>
      <c r="D38" s="374"/>
      <c r="E38" s="349"/>
      <c r="F38" s="406"/>
      <c r="G38" s="332"/>
      <c r="H38" s="303"/>
      <c r="I38" s="20" t="s">
        <v>70</v>
      </c>
      <c r="J38" s="14">
        <f>K38+M38</f>
        <v>1.7</v>
      </c>
      <c r="K38" s="15">
        <v>1.7</v>
      </c>
      <c r="L38" s="68"/>
      <c r="M38" s="69"/>
      <c r="N38" s="47">
        <f>O38+Q38</f>
        <v>1.4</v>
      </c>
      <c r="O38" s="15">
        <v>1.4</v>
      </c>
      <c r="P38" s="68"/>
      <c r="Q38" s="70"/>
      <c r="R38" s="117">
        <f>S38+U38</f>
        <v>0</v>
      </c>
      <c r="S38" s="118"/>
      <c r="T38" s="120"/>
      <c r="U38" s="121"/>
      <c r="V38" s="221">
        <v>1</v>
      </c>
      <c r="W38" s="222">
        <v>1</v>
      </c>
      <c r="Y38" s="25"/>
    </row>
    <row r="39" spans="1:26" ht="12.75" customHeight="1" thickBot="1">
      <c r="A39" s="398"/>
      <c r="B39" s="400"/>
      <c r="C39" s="402"/>
      <c r="D39" s="375"/>
      <c r="E39" s="404"/>
      <c r="F39" s="407"/>
      <c r="G39" s="333"/>
      <c r="H39" s="304"/>
      <c r="I39" s="122" t="s">
        <v>15</v>
      </c>
      <c r="J39" s="108">
        <f>M39+K39</f>
        <v>1027.3</v>
      </c>
      <c r="K39" s="109">
        <f>K35+K34+K37+K38</f>
        <v>1015.8</v>
      </c>
      <c r="L39" s="109">
        <f>L35+L34+L37+L38</f>
        <v>681.1</v>
      </c>
      <c r="M39" s="110">
        <f>M37+M35+M34</f>
        <v>11.5</v>
      </c>
      <c r="N39" s="111">
        <f>Q39+O39</f>
        <v>1002.9</v>
      </c>
      <c r="O39" s="109">
        <f>O35+O34+O37+O38</f>
        <v>1002.9</v>
      </c>
      <c r="P39" s="109">
        <f>P35+P34+P37+P38</f>
        <v>658.4</v>
      </c>
      <c r="Q39" s="112">
        <f>Q37+Q35+Q34</f>
        <v>0</v>
      </c>
      <c r="R39" s="108">
        <f>U39+S39</f>
        <v>0</v>
      </c>
      <c r="S39" s="109">
        <f>S35+S34+S37+S38+S36</f>
        <v>0</v>
      </c>
      <c r="T39" s="109">
        <f>T35+T34+T37+T38+T36</f>
        <v>0</v>
      </c>
      <c r="U39" s="110">
        <f>U37+U35+U34</f>
        <v>0</v>
      </c>
      <c r="V39" s="223">
        <f>V35+V34+V37+V38</f>
        <v>1061</v>
      </c>
      <c r="W39" s="224">
        <f>W37+W35+W34+W38</f>
        <v>1106</v>
      </c>
      <c r="X39" s="9"/>
      <c r="Z39" s="10"/>
    </row>
    <row r="40" spans="1:23" ht="15.75" customHeight="1">
      <c r="A40" s="344" t="s">
        <v>11</v>
      </c>
      <c r="B40" s="346" t="s">
        <v>11</v>
      </c>
      <c r="C40" s="340" t="s">
        <v>18</v>
      </c>
      <c r="D40" s="393" t="s">
        <v>128</v>
      </c>
      <c r="E40" s="334"/>
      <c r="F40" s="384" t="s">
        <v>12</v>
      </c>
      <c r="G40" s="299" t="s">
        <v>89</v>
      </c>
      <c r="H40" s="302" t="s">
        <v>94</v>
      </c>
      <c r="I40" s="19" t="s">
        <v>14</v>
      </c>
      <c r="J40" s="48">
        <f>K40+M40</f>
        <v>277.6</v>
      </c>
      <c r="K40" s="49">
        <f>277.6-1.3</f>
        <v>276.3</v>
      </c>
      <c r="L40" s="49">
        <v>147.6</v>
      </c>
      <c r="M40" s="60">
        <v>1.3</v>
      </c>
      <c r="N40" s="61">
        <f>O40+Q40</f>
        <v>612</v>
      </c>
      <c r="O40" s="49">
        <v>590.5</v>
      </c>
      <c r="P40" s="49">
        <v>162.5</v>
      </c>
      <c r="Q40" s="50">
        <v>21.5</v>
      </c>
      <c r="R40" s="114">
        <f>S40+U40</f>
        <v>0</v>
      </c>
      <c r="S40" s="115"/>
      <c r="T40" s="115"/>
      <c r="U40" s="116"/>
      <c r="V40" s="217">
        <v>350</v>
      </c>
      <c r="W40" s="218">
        <v>365</v>
      </c>
    </row>
    <row r="41" spans="1:23" ht="15.75" customHeight="1">
      <c r="A41" s="367"/>
      <c r="B41" s="369"/>
      <c r="C41" s="371"/>
      <c r="D41" s="394"/>
      <c r="E41" s="335"/>
      <c r="F41" s="385"/>
      <c r="G41" s="300"/>
      <c r="H41" s="381"/>
      <c r="I41" s="20" t="s">
        <v>73</v>
      </c>
      <c r="J41" s="14">
        <f>K41+M41</f>
        <v>605.6</v>
      </c>
      <c r="K41" s="15">
        <f>605.6</f>
        <v>605.6</v>
      </c>
      <c r="L41" s="15">
        <f>445.8</f>
        <v>445.8</v>
      </c>
      <c r="M41" s="16"/>
      <c r="N41" s="47">
        <f>O41+Q41</f>
        <v>581</v>
      </c>
      <c r="O41" s="15">
        <v>581</v>
      </c>
      <c r="P41" s="15">
        <v>440</v>
      </c>
      <c r="Q41" s="37"/>
      <c r="R41" s="117">
        <f>S41+U41</f>
        <v>0</v>
      </c>
      <c r="S41" s="118"/>
      <c r="T41" s="118"/>
      <c r="U41" s="119"/>
      <c r="V41" s="219">
        <v>600</v>
      </c>
      <c r="W41" s="220">
        <v>620</v>
      </c>
    </row>
    <row r="42" spans="1:23" ht="13.5" customHeight="1">
      <c r="A42" s="368"/>
      <c r="B42" s="370"/>
      <c r="C42" s="372"/>
      <c r="D42" s="395"/>
      <c r="E42" s="383"/>
      <c r="F42" s="386"/>
      <c r="G42" s="300"/>
      <c r="H42" s="382"/>
      <c r="I42" s="20" t="s">
        <v>164</v>
      </c>
      <c r="J42" s="14"/>
      <c r="K42" s="15"/>
      <c r="L42" s="15"/>
      <c r="M42" s="16"/>
      <c r="N42" s="47"/>
      <c r="O42" s="15"/>
      <c r="P42" s="15"/>
      <c r="Q42" s="37"/>
      <c r="R42" s="117">
        <f>S42+U42</f>
        <v>0</v>
      </c>
      <c r="S42" s="118"/>
      <c r="T42" s="118"/>
      <c r="U42" s="119"/>
      <c r="V42" s="219"/>
      <c r="W42" s="220"/>
    </row>
    <row r="43" spans="1:23" ht="12" customHeight="1">
      <c r="A43" s="368"/>
      <c r="B43" s="370"/>
      <c r="C43" s="372"/>
      <c r="D43" s="395"/>
      <c r="E43" s="383"/>
      <c r="F43" s="386"/>
      <c r="G43" s="300"/>
      <c r="H43" s="382"/>
      <c r="I43" s="20" t="s">
        <v>19</v>
      </c>
      <c r="J43" s="14">
        <f>K43+M43</f>
        <v>0.2</v>
      </c>
      <c r="K43" s="15">
        <v>0.2</v>
      </c>
      <c r="L43" s="15"/>
      <c r="M43" s="16"/>
      <c r="N43" s="47">
        <f>O43+Q43</f>
        <v>0.2</v>
      </c>
      <c r="O43" s="15">
        <v>0.2</v>
      </c>
      <c r="P43" s="15"/>
      <c r="Q43" s="37"/>
      <c r="R43" s="117">
        <f>S43+U43</f>
        <v>0</v>
      </c>
      <c r="S43" s="118"/>
      <c r="T43" s="118"/>
      <c r="U43" s="119"/>
      <c r="V43" s="219"/>
      <c r="W43" s="220"/>
    </row>
    <row r="44" spans="1:23" ht="12.75" customHeight="1">
      <c r="A44" s="368"/>
      <c r="B44" s="370"/>
      <c r="C44" s="372"/>
      <c r="D44" s="395"/>
      <c r="E44" s="383"/>
      <c r="F44" s="386"/>
      <c r="G44" s="300"/>
      <c r="H44" s="382"/>
      <c r="I44" s="20" t="s">
        <v>70</v>
      </c>
      <c r="J44" s="14">
        <f>K44+M44</f>
        <v>3</v>
      </c>
      <c r="K44" s="15">
        <v>3</v>
      </c>
      <c r="L44" s="68"/>
      <c r="M44" s="69"/>
      <c r="N44" s="47">
        <f>O44+Q44</f>
        <v>2</v>
      </c>
      <c r="O44" s="15">
        <v>2</v>
      </c>
      <c r="P44" s="68"/>
      <c r="Q44" s="70"/>
      <c r="R44" s="117">
        <f>S44+U44</f>
        <v>0</v>
      </c>
      <c r="S44" s="118"/>
      <c r="T44" s="120"/>
      <c r="U44" s="121"/>
      <c r="V44" s="221"/>
      <c r="W44" s="222"/>
    </row>
    <row r="45" spans="1:26" ht="13.5" customHeight="1" thickBot="1">
      <c r="A45" s="345"/>
      <c r="B45" s="347"/>
      <c r="C45" s="341"/>
      <c r="D45" s="396"/>
      <c r="E45" s="336"/>
      <c r="F45" s="387"/>
      <c r="G45" s="301"/>
      <c r="H45" s="304"/>
      <c r="I45" s="122" t="s">
        <v>15</v>
      </c>
      <c r="J45" s="108">
        <f>M45+K45</f>
        <v>886.4000000000001</v>
      </c>
      <c r="K45" s="109">
        <f>K41+K40+K43+K44</f>
        <v>885.1000000000001</v>
      </c>
      <c r="L45" s="109">
        <f>L41+L40+L43+L44</f>
        <v>593.4</v>
      </c>
      <c r="M45" s="110">
        <f>M43+M41+M40</f>
        <v>1.3</v>
      </c>
      <c r="N45" s="111">
        <f>Q45+O45</f>
        <v>1195.2</v>
      </c>
      <c r="O45" s="109">
        <f>O41+O40+O43+O44</f>
        <v>1173.7</v>
      </c>
      <c r="P45" s="109">
        <f>P41+P40+P43+P44</f>
        <v>602.5</v>
      </c>
      <c r="Q45" s="112">
        <f>Q43+Q41+Q40</f>
        <v>21.5</v>
      </c>
      <c r="R45" s="108">
        <f>U45+S45</f>
        <v>0</v>
      </c>
      <c r="S45" s="109">
        <f>S41+S40+S43+S44+S42</f>
        <v>0</v>
      </c>
      <c r="T45" s="109">
        <f>T41+T40+T43+T44+T42</f>
        <v>0</v>
      </c>
      <c r="U45" s="110">
        <f>U43+U41+U40</f>
        <v>0</v>
      </c>
      <c r="V45" s="223">
        <f>V41+V40+V43+V44</f>
        <v>950</v>
      </c>
      <c r="W45" s="224">
        <f>W43+W41+W40+W44</f>
        <v>985</v>
      </c>
      <c r="X45" s="58"/>
      <c r="Z45" s="10"/>
    </row>
    <row r="46" spans="1:23" ht="14.25" customHeight="1" hidden="1">
      <c r="A46" s="344" t="s">
        <v>11</v>
      </c>
      <c r="B46" s="346" t="s">
        <v>11</v>
      </c>
      <c r="C46" s="340" t="s">
        <v>20</v>
      </c>
      <c r="D46" s="373" t="s">
        <v>57</v>
      </c>
      <c r="E46" s="334"/>
      <c r="F46" s="384" t="s">
        <v>12</v>
      </c>
      <c r="G46" s="299" t="s">
        <v>91</v>
      </c>
      <c r="H46" s="391" t="s">
        <v>95</v>
      </c>
      <c r="I46" s="19" t="s">
        <v>14</v>
      </c>
      <c r="J46" s="48">
        <f>K46+M46</f>
        <v>0</v>
      </c>
      <c r="K46" s="49"/>
      <c r="L46" s="49"/>
      <c r="M46" s="60"/>
      <c r="N46" s="61">
        <f>O46+Q46</f>
        <v>0</v>
      </c>
      <c r="O46" s="49"/>
      <c r="P46" s="49"/>
      <c r="Q46" s="50"/>
      <c r="R46" s="114">
        <f>S46+U46</f>
        <v>0</v>
      </c>
      <c r="S46" s="115"/>
      <c r="T46" s="115"/>
      <c r="U46" s="116"/>
      <c r="V46" s="200"/>
      <c r="W46" s="175"/>
    </row>
    <row r="47" spans="1:23" ht="14.25" customHeight="1" hidden="1">
      <c r="A47" s="367"/>
      <c r="B47" s="369"/>
      <c r="C47" s="371"/>
      <c r="D47" s="374"/>
      <c r="E47" s="335"/>
      <c r="F47" s="385"/>
      <c r="G47" s="300"/>
      <c r="H47" s="381"/>
      <c r="I47" s="20" t="s">
        <v>73</v>
      </c>
      <c r="J47" s="14">
        <f>K47+M47</f>
        <v>0</v>
      </c>
      <c r="K47" s="15"/>
      <c r="L47" s="15"/>
      <c r="M47" s="16"/>
      <c r="N47" s="47">
        <f>O47+Q47</f>
        <v>0</v>
      </c>
      <c r="O47" s="15"/>
      <c r="P47" s="15"/>
      <c r="Q47" s="37"/>
      <c r="R47" s="117">
        <f>S47+U47</f>
        <v>0</v>
      </c>
      <c r="S47" s="118"/>
      <c r="T47" s="118"/>
      <c r="U47" s="119"/>
      <c r="V47" s="201"/>
      <c r="W47" s="202"/>
    </row>
    <row r="48" spans="1:23" ht="14.25" customHeight="1" hidden="1">
      <c r="A48" s="368"/>
      <c r="B48" s="370"/>
      <c r="C48" s="372"/>
      <c r="D48" s="374"/>
      <c r="E48" s="383"/>
      <c r="F48" s="386"/>
      <c r="G48" s="300"/>
      <c r="H48" s="382"/>
      <c r="I48" s="20" t="s">
        <v>19</v>
      </c>
      <c r="J48" s="14">
        <f>K48+M48</f>
        <v>0</v>
      </c>
      <c r="K48" s="15"/>
      <c r="L48" s="15"/>
      <c r="M48" s="16"/>
      <c r="N48" s="47">
        <f>O48+Q48</f>
        <v>0</v>
      </c>
      <c r="O48" s="15"/>
      <c r="P48" s="15"/>
      <c r="Q48" s="37"/>
      <c r="R48" s="117">
        <f>S48+U48</f>
        <v>0</v>
      </c>
      <c r="S48" s="118"/>
      <c r="T48" s="118"/>
      <c r="U48" s="119"/>
      <c r="V48" s="201"/>
      <c r="W48" s="202"/>
    </row>
    <row r="49" spans="1:23" ht="14.25" customHeight="1" hidden="1">
      <c r="A49" s="368"/>
      <c r="B49" s="370"/>
      <c r="C49" s="372"/>
      <c r="D49" s="374"/>
      <c r="E49" s="383"/>
      <c r="F49" s="386"/>
      <c r="G49" s="300"/>
      <c r="H49" s="382"/>
      <c r="I49" s="20" t="s">
        <v>70</v>
      </c>
      <c r="J49" s="14">
        <f>K49+M49</f>
        <v>0</v>
      </c>
      <c r="K49" s="15"/>
      <c r="L49" s="68"/>
      <c r="M49" s="69"/>
      <c r="N49" s="47">
        <f>O49+Q49</f>
        <v>0</v>
      </c>
      <c r="O49" s="15"/>
      <c r="P49" s="68"/>
      <c r="Q49" s="70"/>
      <c r="R49" s="117">
        <f>S49+U49</f>
        <v>0</v>
      </c>
      <c r="S49" s="118"/>
      <c r="T49" s="120"/>
      <c r="U49" s="121"/>
      <c r="V49" s="203"/>
      <c r="W49" s="204"/>
    </row>
    <row r="50" spans="1:26" ht="15.75" customHeight="1" hidden="1" thickBot="1">
      <c r="A50" s="345"/>
      <c r="B50" s="347"/>
      <c r="C50" s="341"/>
      <c r="D50" s="375"/>
      <c r="E50" s="336"/>
      <c r="F50" s="387"/>
      <c r="G50" s="301"/>
      <c r="H50" s="304"/>
      <c r="I50" s="113" t="s">
        <v>15</v>
      </c>
      <c r="J50" s="108">
        <f>M50+K50</f>
        <v>0</v>
      </c>
      <c r="K50" s="109">
        <f>K47+K46+K48+K49</f>
        <v>0</v>
      </c>
      <c r="L50" s="109">
        <f>L47+L46+L48+L49</f>
        <v>0</v>
      </c>
      <c r="M50" s="110">
        <f>M48+M47+M46</f>
        <v>0</v>
      </c>
      <c r="N50" s="111">
        <f>Q50+O50</f>
        <v>0</v>
      </c>
      <c r="O50" s="109">
        <f>O47+O46+O48+O49</f>
        <v>0</v>
      </c>
      <c r="P50" s="109">
        <f>P47+P46+P48+P49</f>
        <v>0</v>
      </c>
      <c r="Q50" s="112">
        <f>Q48+Q47+Q46</f>
        <v>0</v>
      </c>
      <c r="R50" s="108">
        <f>U50+S50</f>
        <v>0</v>
      </c>
      <c r="S50" s="109">
        <f>S47+S46+S48+S49</f>
        <v>0</v>
      </c>
      <c r="T50" s="109">
        <f>T47+T46+T48+T49</f>
        <v>0</v>
      </c>
      <c r="U50" s="110">
        <f>U48+U47+U46</f>
        <v>0</v>
      </c>
      <c r="V50" s="205">
        <f>V47+V46+V48+V49</f>
        <v>0</v>
      </c>
      <c r="W50" s="206">
        <f>W48+W47+W46+W49</f>
        <v>0</v>
      </c>
      <c r="X50" s="58"/>
      <c r="Z50" s="10"/>
    </row>
    <row r="51" spans="1:25" ht="14.25" customHeight="1" hidden="1">
      <c r="A51" s="397" t="s">
        <v>11</v>
      </c>
      <c r="B51" s="399" t="s">
        <v>11</v>
      </c>
      <c r="C51" s="401" t="s">
        <v>22</v>
      </c>
      <c r="D51" s="373" t="s">
        <v>58</v>
      </c>
      <c r="E51" s="403"/>
      <c r="F51" s="405" t="s">
        <v>12</v>
      </c>
      <c r="G51" s="331" t="s">
        <v>96</v>
      </c>
      <c r="H51" s="391" t="s">
        <v>97</v>
      </c>
      <c r="I51" s="19" t="s">
        <v>14</v>
      </c>
      <c r="J51" s="48">
        <f>K51+M51</f>
        <v>0</v>
      </c>
      <c r="K51" s="49"/>
      <c r="L51" s="49"/>
      <c r="M51" s="60"/>
      <c r="N51" s="61">
        <f>O51+Q51</f>
        <v>0</v>
      </c>
      <c r="O51" s="49"/>
      <c r="P51" s="49"/>
      <c r="Q51" s="50"/>
      <c r="R51" s="114">
        <f>S51+U51</f>
        <v>0</v>
      </c>
      <c r="S51" s="115"/>
      <c r="T51" s="115"/>
      <c r="U51" s="116"/>
      <c r="V51" s="200"/>
      <c r="W51" s="175"/>
      <c r="Y51" s="25"/>
    </row>
    <row r="52" spans="1:25" ht="14.25" customHeight="1" hidden="1">
      <c r="A52" s="380"/>
      <c r="B52" s="365"/>
      <c r="C52" s="379"/>
      <c r="D52" s="374"/>
      <c r="E52" s="349"/>
      <c r="F52" s="406"/>
      <c r="G52" s="332"/>
      <c r="H52" s="303"/>
      <c r="I52" s="20" t="s">
        <v>73</v>
      </c>
      <c r="J52" s="14">
        <f>K52+M52</f>
        <v>0</v>
      </c>
      <c r="K52" s="15"/>
      <c r="L52" s="15"/>
      <c r="M52" s="16"/>
      <c r="N52" s="47">
        <f>O52+Q52</f>
        <v>0</v>
      </c>
      <c r="O52" s="15"/>
      <c r="P52" s="15"/>
      <c r="Q52" s="37"/>
      <c r="R52" s="117">
        <f>S52+U52</f>
        <v>0</v>
      </c>
      <c r="S52" s="118"/>
      <c r="T52" s="118"/>
      <c r="U52" s="119"/>
      <c r="V52" s="201"/>
      <c r="W52" s="202"/>
      <c r="Y52" s="25"/>
    </row>
    <row r="53" spans="1:25" ht="14.25" customHeight="1" hidden="1">
      <c r="A53" s="380"/>
      <c r="B53" s="365"/>
      <c r="C53" s="379"/>
      <c r="D53" s="374"/>
      <c r="E53" s="349"/>
      <c r="F53" s="406"/>
      <c r="G53" s="332"/>
      <c r="H53" s="303"/>
      <c r="I53" s="20" t="s">
        <v>19</v>
      </c>
      <c r="J53" s="14">
        <f>K53+M53</f>
        <v>0</v>
      </c>
      <c r="K53" s="15"/>
      <c r="L53" s="15"/>
      <c r="M53" s="16"/>
      <c r="N53" s="47">
        <f>O53+Q53</f>
        <v>0</v>
      </c>
      <c r="O53" s="15"/>
      <c r="P53" s="15"/>
      <c r="Q53" s="37"/>
      <c r="R53" s="117">
        <f>S53+U53</f>
        <v>0</v>
      </c>
      <c r="S53" s="118"/>
      <c r="T53" s="118"/>
      <c r="U53" s="119"/>
      <c r="V53" s="201"/>
      <c r="W53" s="202"/>
      <c r="Y53" s="25"/>
    </row>
    <row r="54" spans="1:25" ht="14.25" customHeight="1" hidden="1">
      <c r="A54" s="380"/>
      <c r="B54" s="365"/>
      <c r="C54" s="379"/>
      <c r="D54" s="374"/>
      <c r="E54" s="349"/>
      <c r="F54" s="406"/>
      <c r="G54" s="332"/>
      <c r="H54" s="303"/>
      <c r="I54" s="20" t="s">
        <v>70</v>
      </c>
      <c r="J54" s="14">
        <f>K54+M54</f>
        <v>0</v>
      </c>
      <c r="K54" s="15"/>
      <c r="L54" s="68"/>
      <c r="M54" s="69"/>
      <c r="N54" s="47">
        <f>O54+Q54</f>
        <v>0</v>
      </c>
      <c r="O54" s="15"/>
      <c r="P54" s="68"/>
      <c r="Q54" s="70"/>
      <c r="R54" s="117">
        <f>S54+U54</f>
        <v>0</v>
      </c>
      <c r="S54" s="118"/>
      <c r="T54" s="120"/>
      <c r="U54" s="121"/>
      <c r="V54" s="203"/>
      <c r="W54" s="204"/>
      <c r="Y54" s="25"/>
    </row>
    <row r="55" spans="1:26" ht="15.75" customHeight="1" hidden="1" thickBot="1">
      <c r="A55" s="398"/>
      <c r="B55" s="400"/>
      <c r="C55" s="402"/>
      <c r="D55" s="375"/>
      <c r="E55" s="404"/>
      <c r="F55" s="407"/>
      <c r="G55" s="333"/>
      <c r="H55" s="304"/>
      <c r="I55" s="113" t="s">
        <v>15</v>
      </c>
      <c r="J55" s="108">
        <f>M55+K55</f>
        <v>0</v>
      </c>
      <c r="K55" s="109">
        <f>K52+K51+K53+K54</f>
        <v>0</v>
      </c>
      <c r="L55" s="109">
        <f>L52+L51+L53+L54</f>
        <v>0</v>
      </c>
      <c r="M55" s="110">
        <f>M53+M52+M51</f>
        <v>0</v>
      </c>
      <c r="N55" s="111">
        <f>Q55+O55</f>
        <v>0</v>
      </c>
      <c r="O55" s="109">
        <f>O52+O51+O53+O54</f>
        <v>0</v>
      </c>
      <c r="P55" s="109">
        <f>P52+P51+P53+P54</f>
        <v>0</v>
      </c>
      <c r="Q55" s="112">
        <f>Q53+Q52+Q51</f>
        <v>0</v>
      </c>
      <c r="R55" s="108">
        <f>U55+S55</f>
        <v>0</v>
      </c>
      <c r="S55" s="109">
        <f>S52+S51+S53+S54</f>
        <v>0</v>
      </c>
      <c r="T55" s="109">
        <f>T52+T51+T53+T54</f>
        <v>0</v>
      </c>
      <c r="U55" s="110">
        <f>U53+U52+U51</f>
        <v>0</v>
      </c>
      <c r="V55" s="205">
        <f>V52+V51+V53+V54</f>
        <v>0</v>
      </c>
      <c r="W55" s="206">
        <f>W53+W52+W51+W54</f>
        <v>0</v>
      </c>
      <c r="X55" s="9"/>
      <c r="Z55" s="10"/>
    </row>
    <row r="56" spans="1:23" ht="14.25" customHeight="1">
      <c r="A56" s="344" t="s">
        <v>11</v>
      </c>
      <c r="B56" s="346" t="s">
        <v>11</v>
      </c>
      <c r="C56" s="340" t="s">
        <v>21</v>
      </c>
      <c r="D56" s="393" t="s">
        <v>59</v>
      </c>
      <c r="E56" s="334"/>
      <c r="F56" s="384" t="s">
        <v>12</v>
      </c>
      <c r="G56" s="299" t="s">
        <v>99</v>
      </c>
      <c r="H56" s="302" t="s">
        <v>98</v>
      </c>
      <c r="I56" s="19" t="s">
        <v>14</v>
      </c>
      <c r="J56" s="48">
        <f>K56+M56</f>
        <v>90.7</v>
      </c>
      <c r="K56" s="49">
        <v>90.7</v>
      </c>
      <c r="L56" s="49">
        <v>49.8</v>
      </c>
      <c r="M56" s="60"/>
      <c r="N56" s="61">
        <f>O56+Q56</f>
        <v>123.6</v>
      </c>
      <c r="O56" s="49">
        <v>123.6</v>
      </c>
      <c r="P56" s="49">
        <v>58.9</v>
      </c>
      <c r="Q56" s="50"/>
      <c r="R56" s="114">
        <f>S56+U56</f>
        <v>0</v>
      </c>
      <c r="S56" s="115"/>
      <c r="T56" s="115"/>
      <c r="U56" s="116"/>
      <c r="V56" s="217">
        <v>125</v>
      </c>
      <c r="W56" s="218"/>
    </row>
    <row r="57" spans="1:24" ht="14.25" customHeight="1">
      <c r="A57" s="367"/>
      <c r="B57" s="369"/>
      <c r="C57" s="371"/>
      <c r="D57" s="394"/>
      <c r="E57" s="335"/>
      <c r="F57" s="385"/>
      <c r="G57" s="300"/>
      <c r="H57" s="381"/>
      <c r="I57" s="20" t="s">
        <v>73</v>
      </c>
      <c r="J57" s="14">
        <f>K57+M57</f>
        <v>166.6</v>
      </c>
      <c r="K57" s="15">
        <f>166.6</f>
        <v>166.6</v>
      </c>
      <c r="L57" s="15">
        <f>124.2+4.2</f>
        <v>128.4</v>
      </c>
      <c r="M57" s="16"/>
      <c r="N57" s="47">
        <f>O57+Q57</f>
        <v>159</v>
      </c>
      <c r="O57" s="15">
        <v>159</v>
      </c>
      <c r="P57" s="15">
        <v>120</v>
      </c>
      <c r="Q57" s="37"/>
      <c r="R57" s="117">
        <f>S57+U57</f>
        <v>0</v>
      </c>
      <c r="S57" s="118"/>
      <c r="T57" s="118"/>
      <c r="U57" s="119"/>
      <c r="V57" s="219">
        <v>170</v>
      </c>
      <c r="W57" s="220"/>
      <c r="X57" s="1">
        <v>0</v>
      </c>
    </row>
    <row r="58" spans="1:23" ht="14.25" customHeight="1">
      <c r="A58" s="368"/>
      <c r="B58" s="370"/>
      <c r="C58" s="372"/>
      <c r="D58" s="395"/>
      <c r="E58" s="383"/>
      <c r="F58" s="386"/>
      <c r="G58" s="300"/>
      <c r="H58" s="382"/>
      <c r="I58" s="20" t="s">
        <v>164</v>
      </c>
      <c r="J58" s="14"/>
      <c r="K58" s="15"/>
      <c r="L58" s="15"/>
      <c r="M58" s="16"/>
      <c r="N58" s="47"/>
      <c r="O58" s="15"/>
      <c r="P58" s="15"/>
      <c r="Q58" s="37"/>
      <c r="R58" s="117">
        <f>S58+U58</f>
        <v>0</v>
      </c>
      <c r="S58" s="118"/>
      <c r="T58" s="118"/>
      <c r="U58" s="119"/>
      <c r="V58" s="219"/>
      <c r="W58" s="220"/>
    </row>
    <row r="59" spans="1:23" ht="14.25" customHeight="1">
      <c r="A59" s="368"/>
      <c r="B59" s="370"/>
      <c r="C59" s="372"/>
      <c r="D59" s="395"/>
      <c r="E59" s="383"/>
      <c r="F59" s="386"/>
      <c r="G59" s="300"/>
      <c r="H59" s="382"/>
      <c r="I59" s="20" t="s">
        <v>19</v>
      </c>
      <c r="J59" s="14">
        <f>K59+M59</f>
        <v>0</v>
      </c>
      <c r="K59" s="15"/>
      <c r="L59" s="15"/>
      <c r="M59" s="16"/>
      <c r="N59" s="47">
        <f>O59+Q59</f>
        <v>0</v>
      </c>
      <c r="O59" s="15"/>
      <c r="P59" s="15"/>
      <c r="Q59" s="37"/>
      <c r="R59" s="117">
        <f>S59+U59</f>
        <v>0</v>
      </c>
      <c r="S59" s="118"/>
      <c r="T59" s="118"/>
      <c r="U59" s="119"/>
      <c r="V59" s="219"/>
      <c r="W59" s="220"/>
    </row>
    <row r="60" spans="1:23" ht="14.25" customHeight="1">
      <c r="A60" s="368"/>
      <c r="B60" s="370"/>
      <c r="C60" s="372"/>
      <c r="D60" s="395"/>
      <c r="E60" s="383"/>
      <c r="F60" s="386"/>
      <c r="G60" s="300"/>
      <c r="H60" s="382"/>
      <c r="I60" s="20" t="s">
        <v>70</v>
      </c>
      <c r="J60" s="14">
        <f>K60+M60</f>
        <v>0</v>
      </c>
      <c r="K60" s="15"/>
      <c r="L60" s="68"/>
      <c r="M60" s="69"/>
      <c r="N60" s="47">
        <f>O60+Q60</f>
        <v>0</v>
      </c>
      <c r="O60" s="15"/>
      <c r="P60" s="68"/>
      <c r="Q60" s="70"/>
      <c r="R60" s="117">
        <f>S60+U60</f>
        <v>0</v>
      </c>
      <c r="S60" s="118"/>
      <c r="T60" s="120"/>
      <c r="U60" s="121"/>
      <c r="V60" s="221"/>
      <c r="W60" s="222"/>
    </row>
    <row r="61" spans="1:26" ht="15.75" customHeight="1" thickBot="1">
      <c r="A61" s="345"/>
      <c r="B61" s="347"/>
      <c r="C61" s="341"/>
      <c r="D61" s="396"/>
      <c r="E61" s="336"/>
      <c r="F61" s="387"/>
      <c r="G61" s="301"/>
      <c r="H61" s="304"/>
      <c r="I61" s="122" t="s">
        <v>15</v>
      </c>
      <c r="J61" s="108">
        <f>M61+K61</f>
        <v>257.3</v>
      </c>
      <c r="K61" s="109">
        <f>K57+K56+K59+K60</f>
        <v>257.3</v>
      </c>
      <c r="L61" s="109">
        <f>L57+L56+L59+L60</f>
        <v>178.2</v>
      </c>
      <c r="M61" s="110">
        <f>M59+M57+M56</f>
        <v>0</v>
      </c>
      <c r="N61" s="111">
        <f>Q61+O61</f>
        <v>282.6</v>
      </c>
      <c r="O61" s="109">
        <f>O57+O56+O59+O60</f>
        <v>282.6</v>
      </c>
      <c r="P61" s="109">
        <f>P57+P56+P59+P60</f>
        <v>178.9</v>
      </c>
      <c r="Q61" s="112">
        <f>Q59+Q57+Q56</f>
        <v>0</v>
      </c>
      <c r="R61" s="108">
        <f>U61+S61</f>
        <v>0</v>
      </c>
      <c r="S61" s="109">
        <f>S57+S56+S59+S60+S58</f>
        <v>0</v>
      </c>
      <c r="T61" s="109">
        <f>T57+T56+T59+T60+T58</f>
        <v>0</v>
      </c>
      <c r="U61" s="110">
        <f>U59+U57+U56</f>
        <v>0</v>
      </c>
      <c r="V61" s="223">
        <f>V57+V56+V59+V60</f>
        <v>295</v>
      </c>
      <c r="W61" s="224">
        <f>W59+W57+W56+W60</f>
        <v>0</v>
      </c>
      <c r="X61" s="58"/>
      <c r="Z61" s="10"/>
    </row>
    <row r="62" spans="1:23" ht="15.75" customHeight="1">
      <c r="A62" s="344" t="s">
        <v>11</v>
      </c>
      <c r="B62" s="346" t="s">
        <v>11</v>
      </c>
      <c r="C62" s="340" t="s">
        <v>12</v>
      </c>
      <c r="D62" s="373" t="s">
        <v>60</v>
      </c>
      <c r="E62" s="334"/>
      <c r="F62" s="384" t="s">
        <v>12</v>
      </c>
      <c r="G62" s="299" t="s">
        <v>100</v>
      </c>
      <c r="H62" s="302" t="s">
        <v>101</v>
      </c>
      <c r="I62" s="19" t="s">
        <v>14</v>
      </c>
      <c r="J62" s="48">
        <f>K62+M62</f>
        <v>182</v>
      </c>
      <c r="K62" s="49">
        <v>182</v>
      </c>
      <c r="L62" s="49">
        <v>106.9</v>
      </c>
      <c r="M62" s="60"/>
      <c r="N62" s="61">
        <f>O62+Q62</f>
        <v>240.8</v>
      </c>
      <c r="O62" s="49">
        <v>240.8</v>
      </c>
      <c r="P62" s="49">
        <v>120.1</v>
      </c>
      <c r="Q62" s="50"/>
      <c r="R62" s="114">
        <f>S62+U62</f>
        <v>0</v>
      </c>
      <c r="S62" s="115"/>
      <c r="T62" s="115"/>
      <c r="U62" s="116"/>
      <c r="V62" s="217">
        <v>230</v>
      </c>
      <c r="W62" s="218">
        <v>240</v>
      </c>
    </row>
    <row r="63" spans="1:23" ht="15.75" customHeight="1">
      <c r="A63" s="440"/>
      <c r="B63" s="441"/>
      <c r="C63" s="436"/>
      <c r="D63" s="374"/>
      <c r="E63" s="409"/>
      <c r="F63" s="408"/>
      <c r="G63" s="300"/>
      <c r="H63" s="391"/>
      <c r="I63" s="20" t="s">
        <v>73</v>
      </c>
      <c r="J63" s="14">
        <f>K63+M63</f>
        <v>232</v>
      </c>
      <c r="K63" s="15">
        <f>232</f>
        <v>232</v>
      </c>
      <c r="L63" s="15">
        <f>172.5</f>
        <v>172.5</v>
      </c>
      <c r="M63" s="16"/>
      <c r="N63" s="47">
        <f>O63+Q63</f>
        <v>231</v>
      </c>
      <c r="O63" s="15">
        <v>231</v>
      </c>
      <c r="P63" s="15">
        <v>174</v>
      </c>
      <c r="Q63" s="37"/>
      <c r="R63" s="117">
        <f>S63+U63</f>
        <v>0</v>
      </c>
      <c r="S63" s="118"/>
      <c r="T63" s="118"/>
      <c r="U63" s="119"/>
      <c r="V63" s="219">
        <v>240</v>
      </c>
      <c r="W63" s="220">
        <v>250</v>
      </c>
    </row>
    <row r="64" spans="1:23" ht="14.25" customHeight="1">
      <c r="A64" s="440"/>
      <c r="B64" s="441"/>
      <c r="C64" s="436"/>
      <c r="D64" s="374"/>
      <c r="E64" s="409"/>
      <c r="F64" s="408"/>
      <c r="G64" s="300"/>
      <c r="H64" s="391"/>
      <c r="I64" s="20" t="s">
        <v>164</v>
      </c>
      <c r="J64" s="14"/>
      <c r="K64" s="15"/>
      <c r="L64" s="15"/>
      <c r="M64" s="16"/>
      <c r="N64" s="47"/>
      <c r="O64" s="15"/>
      <c r="P64" s="15"/>
      <c r="Q64" s="37"/>
      <c r="R64" s="117">
        <f>S64+U64</f>
        <v>0</v>
      </c>
      <c r="S64" s="118"/>
      <c r="T64" s="118"/>
      <c r="U64" s="119"/>
      <c r="V64" s="219"/>
      <c r="W64" s="220"/>
    </row>
    <row r="65" spans="1:23" ht="14.25" customHeight="1">
      <c r="A65" s="440"/>
      <c r="B65" s="441"/>
      <c r="C65" s="436"/>
      <c r="D65" s="374"/>
      <c r="E65" s="409"/>
      <c r="F65" s="408"/>
      <c r="G65" s="300"/>
      <c r="H65" s="391"/>
      <c r="I65" s="20" t="s">
        <v>19</v>
      </c>
      <c r="J65" s="14">
        <f>K65+M65</f>
        <v>2.1</v>
      </c>
      <c r="K65" s="15">
        <v>2.1</v>
      </c>
      <c r="L65" s="15"/>
      <c r="M65" s="16"/>
      <c r="N65" s="47">
        <f>O65+Q65</f>
        <v>2.1</v>
      </c>
      <c r="O65" s="15">
        <f>0.2+1.9</f>
        <v>2.1</v>
      </c>
      <c r="P65" s="15"/>
      <c r="Q65" s="37"/>
      <c r="R65" s="117">
        <f>S65+U65</f>
        <v>0</v>
      </c>
      <c r="S65" s="118"/>
      <c r="T65" s="118"/>
      <c r="U65" s="119"/>
      <c r="V65" s="219">
        <v>2.3</v>
      </c>
      <c r="W65" s="220">
        <v>2.3</v>
      </c>
    </row>
    <row r="66" spans="1:23" ht="14.25" customHeight="1">
      <c r="A66" s="367"/>
      <c r="B66" s="369"/>
      <c r="C66" s="371"/>
      <c r="D66" s="374"/>
      <c r="E66" s="335"/>
      <c r="F66" s="385"/>
      <c r="G66" s="300"/>
      <c r="H66" s="381"/>
      <c r="I66" s="20" t="s">
        <v>70</v>
      </c>
      <c r="J66" s="14">
        <f>K66+M66</f>
        <v>0.4</v>
      </c>
      <c r="K66" s="15">
        <v>0.4</v>
      </c>
      <c r="L66" s="68"/>
      <c r="M66" s="69"/>
      <c r="N66" s="47">
        <f>O66+Q66</f>
        <v>0.4</v>
      </c>
      <c r="O66" s="15">
        <v>0.4</v>
      </c>
      <c r="P66" s="68"/>
      <c r="Q66" s="70"/>
      <c r="R66" s="117">
        <f>S66+U66</f>
        <v>0</v>
      </c>
      <c r="S66" s="118"/>
      <c r="T66" s="120"/>
      <c r="U66" s="121"/>
      <c r="V66" s="221">
        <v>0.2</v>
      </c>
      <c r="W66" s="222">
        <v>0.2</v>
      </c>
    </row>
    <row r="67" spans="1:26" ht="15.75" customHeight="1" thickBot="1">
      <c r="A67" s="345"/>
      <c r="B67" s="347"/>
      <c r="C67" s="341"/>
      <c r="D67" s="375"/>
      <c r="E67" s="336"/>
      <c r="F67" s="387"/>
      <c r="G67" s="301"/>
      <c r="H67" s="304"/>
      <c r="I67" s="122" t="s">
        <v>15</v>
      </c>
      <c r="J67" s="108">
        <f>M67+K67</f>
        <v>416.5</v>
      </c>
      <c r="K67" s="109">
        <f>K63+K62+K65+K66</f>
        <v>416.5</v>
      </c>
      <c r="L67" s="109">
        <f>L63+L62+L65+L66</f>
        <v>279.4</v>
      </c>
      <c r="M67" s="110">
        <f>M65+M63+M62</f>
        <v>0</v>
      </c>
      <c r="N67" s="111">
        <f>Q67+O67</f>
        <v>474.3</v>
      </c>
      <c r="O67" s="109">
        <f>O63+O62+O65+O66</f>
        <v>474.3</v>
      </c>
      <c r="P67" s="109">
        <f>P63+P62+P65+P66</f>
        <v>294.1</v>
      </c>
      <c r="Q67" s="112">
        <f>Q65+Q63+Q62</f>
        <v>0</v>
      </c>
      <c r="R67" s="108">
        <f>U67+S67</f>
        <v>0</v>
      </c>
      <c r="S67" s="109">
        <f>S63+S62+S65+S66+S64</f>
        <v>0</v>
      </c>
      <c r="T67" s="109">
        <f>T63+T62+T65+T66+T64</f>
        <v>0</v>
      </c>
      <c r="U67" s="110">
        <f>U65+U63+U62</f>
        <v>0</v>
      </c>
      <c r="V67" s="223">
        <f>V63+V62+V65+V66</f>
        <v>472.5</v>
      </c>
      <c r="W67" s="224">
        <f>W65+W63+W62+W66</f>
        <v>492.5</v>
      </c>
      <c r="X67" s="58"/>
      <c r="Z67" s="10"/>
    </row>
    <row r="68" spans="1:23" ht="15.75" customHeight="1">
      <c r="A68" s="344" t="s">
        <v>11</v>
      </c>
      <c r="B68" s="346" t="s">
        <v>11</v>
      </c>
      <c r="C68" s="340" t="s">
        <v>13</v>
      </c>
      <c r="D68" s="373" t="s">
        <v>61</v>
      </c>
      <c r="E68" s="334"/>
      <c r="F68" s="384" t="s">
        <v>12</v>
      </c>
      <c r="G68" s="299" t="s">
        <v>102</v>
      </c>
      <c r="H68" s="302" t="s">
        <v>103</v>
      </c>
      <c r="I68" s="19" t="s">
        <v>14</v>
      </c>
      <c r="J68" s="48">
        <f>K68+M68</f>
        <v>136.6</v>
      </c>
      <c r="K68" s="49">
        <v>136.6</v>
      </c>
      <c r="L68" s="49">
        <v>88.8</v>
      </c>
      <c r="M68" s="60"/>
      <c r="N68" s="61">
        <f>O68+Q68</f>
        <v>152</v>
      </c>
      <c r="O68" s="49">
        <v>152</v>
      </c>
      <c r="P68" s="49">
        <v>98.8</v>
      </c>
      <c r="Q68" s="50"/>
      <c r="R68" s="114">
        <f>S68+U68</f>
        <v>0</v>
      </c>
      <c r="S68" s="115"/>
      <c r="T68" s="115"/>
      <c r="U68" s="116"/>
      <c r="V68" s="200"/>
      <c r="W68" s="175"/>
    </row>
    <row r="69" spans="1:23" ht="16.5" customHeight="1">
      <c r="A69" s="367"/>
      <c r="B69" s="369"/>
      <c r="C69" s="371"/>
      <c r="D69" s="374"/>
      <c r="E69" s="335"/>
      <c r="F69" s="385"/>
      <c r="G69" s="300"/>
      <c r="H69" s="381"/>
      <c r="I69" s="20" t="s">
        <v>73</v>
      </c>
      <c r="J69" s="14">
        <f>K69+M69</f>
        <v>171.1</v>
      </c>
      <c r="K69" s="15">
        <f>171.1</f>
        <v>171.1</v>
      </c>
      <c r="L69" s="15">
        <f>129.3</f>
        <v>129.3</v>
      </c>
      <c r="M69" s="16"/>
      <c r="N69" s="47">
        <f>O69+Q69</f>
        <v>130</v>
      </c>
      <c r="O69" s="15">
        <v>130</v>
      </c>
      <c r="P69" s="15">
        <v>99</v>
      </c>
      <c r="Q69" s="37"/>
      <c r="R69" s="117">
        <f>S69+U69</f>
        <v>0</v>
      </c>
      <c r="S69" s="118"/>
      <c r="T69" s="118"/>
      <c r="U69" s="119"/>
      <c r="V69" s="201"/>
      <c r="W69" s="202"/>
    </row>
    <row r="70" spans="1:23" ht="14.25" customHeight="1">
      <c r="A70" s="368"/>
      <c r="B70" s="370"/>
      <c r="C70" s="372"/>
      <c r="D70" s="374"/>
      <c r="E70" s="383"/>
      <c r="F70" s="386"/>
      <c r="G70" s="300"/>
      <c r="H70" s="382"/>
      <c r="I70" s="20" t="s">
        <v>164</v>
      </c>
      <c r="J70" s="14"/>
      <c r="K70" s="15"/>
      <c r="L70" s="15"/>
      <c r="M70" s="16"/>
      <c r="N70" s="47"/>
      <c r="O70" s="15"/>
      <c r="P70" s="15"/>
      <c r="Q70" s="37"/>
      <c r="R70" s="117">
        <f>S70+U70</f>
        <v>0</v>
      </c>
      <c r="S70" s="118"/>
      <c r="T70" s="118"/>
      <c r="U70" s="119"/>
      <c r="V70" s="201"/>
      <c r="W70" s="202"/>
    </row>
    <row r="71" spans="1:23" ht="14.25" customHeight="1">
      <c r="A71" s="368"/>
      <c r="B71" s="370"/>
      <c r="C71" s="372"/>
      <c r="D71" s="374"/>
      <c r="E71" s="383"/>
      <c r="F71" s="386"/>
      <c r="G71" s="300"/>
      <c r="H71" s="382"/>
      <c r="I71" s="20" t="s">
        <v>19</v>
      </c>
      <c r="J71" s="14">
        <f>K71+M71</f>
        <v>8.8</v>
      </c>
      <c r="K71" s="15">
        <v>8.8</v>
      </c>
      <c r="L71" s="15">
        <v>0.5</v>
      </c>
      <c r="M71" s="16"/>
      <c r="N71" s="47">
        <f>O71+Q71</f>
        <v>10.9</v>
      </c>
      <c r="O71" s="15">
        <v>10.9</v>
      </c>
      <c r="P71" s="15">
        <v>0.6</v>
      </c>
      <c r="Q71" s="37"/>
      <c r="R71" s="117">
        <f>S71+U71</f>
        <v>0</v>
      </c>
      <c r="S71" s="118"/>
      <c r="T71" s="118"/>
      <c r="U71" s="119"/>
      <c r="V71" s="201"/>
      <c r="W71" s="202"/>
    </row>
    <row r="72" spans="1:23" ht="14.25" customHeight="1">
      <c r="A72" s="368"/>
      <c r="B72" s="370"/>
      <c r="C72" s="372"/>
      <c r="D72" s="374"/>
      <c r="E72" s="383"/>
      <c r="F72" s="386"/>
      <c r="G72" s="300"/>
      <c r="H72" s="382"/>
      <c r="I72" s="20" t="s">
        <v>70</v>
      </c>
      <c r="J72" s="14">
        <f>K72+M72</f>
        <v>0</v>
      </c>
      <c r="K72" s="15"/>
      <c r="L72" s="68"/>
      <c r="M72" s="69"/>
      <c r="N72" s="47">
        <f>O72+Q72</f>
        <v>0.2</v>
      </c>
      <c r="O72" s="15">
        <v>0.2</v>
      </c>
      <c r="P72" s="68"/>
      <c r="Q72" s="70"/>
      <c r="R72" s="117">
        <f>S72+U72</f>
        <v>0</v>
      </c>
      <c r="S72" s="118"/>
      <c r="T72" s="120"/>
      <c r="U72" s="121"/>
      <c r="V72" s="203"/>
      <c r="W72" s="204"/>
    </row>
    <row r="73" spans="1:26" ht="14.25" customHeight="1" thickBot="1">
      <c r="A73" s="345"/>
      <c r="B73" s="347"/>
      <c r="C73" s="341"/>
      <c r="D73" s="375"/>
      <c r="E73" s="336"/>
      <c r="F73" s="387"/>
      <c r="G73" s="301"/>
      <c r="H73" s="304"/>
      <c r="I73" s="122" t="s">
        <v>15</v>
      </c>
      <c r="J73" s="108">
        <f>M73+K73</f>
        <v>316.5</v>
      </c>
      <c r="K73" s="109">
        <f>K69+K68+K71+K72</f>
        <v>316.5</v>
      </c>
      <c r="L73" s="109">
        <f>L69+L68+L71+L72</f>
        <v>218.60000000000002</v>
      </c>
      <c r="M73" s="110">
        <f>M71+M69+M68+M72</f>
        <v>0</v>
      </c>
      <c r="N73" s="111">
        <f>Q73+O73</f>
        <v>293.09999999999997</v>
      </c>
      <c r="O73" s="109">
        <f>O69+O68+O71+O72</f>
        <v>293.09999999999997</v>
      </c>
      <c r="P73" s="109">
        <f>P69+P68+P71+P72</f>
        <v>198.4</v>
      </c>
      <c r="Q73" s="112">
        <f>Q71+Q69+Q68+Q72</f>
        <v>0</v>
      </c>
      <c r="R73" s="108">
        <f>U73+S73</f>
        <v>0</v>
      </c>
      <c r="S73" s="109">
        <f>S69+S68+S71+S72+S70</f>
        <v>0</v>
      </c>
      <c r="T73" s="109">
        <f>T69+T68+T71+T72+T70</f>
        <v>0</v>
      </c>
      <c r="U73" s="110">
        <f>U71+U69+U68+U72</f>
        <v>0</v>
      </c>
      <c r="V73" s="205">
        <f>V69+V68+V71+V72</f>
        <v>0</v>
      </c>
      <c r="W73" s="206">
        <f>W71+W69+W68+W72</f>
        <v>0</v>
      </c>
      <c r="X73" s="58"/>
      <c r="Z73" s="10"/>
    </row>
    <row r="74" spans="1:25" ht="15.75" customHeight="1">
      <c r="A74" s="397" t="s">
        <v>11</v>
      </c>
      <c r="B74" s="399" t="s">
        <v>11</v>
      </c>
      <c r="C74" s="401" t="s">
        <v>40</v>
      </c>
      <c r="D74" s="373" t="s">
        <v>162</v>
      </c>
      <c r="E74" s="403"/>
      <c r="F74" s="405" t="s">
        <v>12</v>
      </c>
      <c r="G74" s="331" t="s">
        <v>104</v>
      </c>
      <c r="H74" s="302" t="s">
        <v>105</v>
      </c>
      <c r="I74" s="19" t="s">
        <v>14</v>
      </c>
      <c r="J74" s="48">
        <f>K74+M74</f>
        <v>169.3</v>
      </c>
      <c r="K74" s="49">
        <f>169.3-0.8</f>
        <v>168.5</v>
      </c>
      <c r="L74" s="49">
        <v>101</v>
      </c>
      <c r="M74" s="60">
        <v>0.8</v>
      </c>
      <c r="N74" s="61">
        <f>O74+Q74</f>
        <v>203</v>
      </c>
      <c r="O74" s="49">
        <v>203</v>
      </c>
      <c r="P74" s="49">
        <v>120.7</v>
      </c>
      <c r="Q74" s="50"/>
      <c r="R74" s="114">
        <f>S74+U74</f>
        <v>0</v>
      </c>
      <c r="S74" s="115"/>
      <c r="T74" s="115"/>
      <c r="U74" s="116"/>
      <c r="V74" s="217">
        <v>210</v>
      </c>
      <c r="W74" s="218">
        <v>230</v>
      </c>
      <c r="Y74" s="25"/>
    </row>
    <row r="75" spans="1:25" ht="16.5" customHeight="1">
      <c r="A75" s="380"/>
      <c r="B75" s="365"/>
      <c r="C75" s="379"/>
      <c r="D75" s="374"/>
      <c r="E75" s="349"/>
      <c r="F75" s="406"/>
      <c r="G75" s="332"/>
      <c r="H75" s="303"/>
      <c r="I75" s="20" t="s">
        <v>73</v>
      </c>
      <c r="J75" s="14">
        <f>K75+M75</f>
        <v>226.2</v>
      </c>
      <c r="K75" s="15">
        <f>226.2</f>
        <v>226.2</v>
      </c>
      <c r="L75" s="15">
        <f>169</f>
        <v>169</v>
      </c>
      <c r="M75" s="16"/>
      <c r="N75" s="47">
        <f>O75+Q75</f>
        <v>224.6</v>
      </c>
      <c r="O75" s="15">
        <v>224.6</v>
      </c>
      <c r="P75" s="15">
        <v>170</v>
      </c>
      <c r="Q75" s="37"/>
      <c r="R75" s="117">
        <f>S75+U75</f>
        <v>0</v>
      </c>
      <c r="S75" s="118"/>
      <c r="T75" s="118"/>
      <c r="U75" s="119"/>
      <c r="V75" s="219">
        <v>250</v>
      </c>
      <c r="W75" s="220">
        <v>250</v>
      </c>
      <c r="Y75" s="25"/>
    </row>
    <row r="76" spans="1:25" ht="14.25" customHeight="1">
      <c r="A76" s="380"/>
      <c r="B76" s="365"/>
      <c r="C76" s="379"/>
      <c r="D76" s="374"/>
      <c r="E76" s="349"/>
      <c r="F76" s="406"/>
      <c r="G76" s="332"/>
      <c r="H76" s="303"/>
      <c r="I76" s="20" t="s">
        <v>164</v>
      </c>
      <c r="J76" s="14"/>
      <c r="K76" s="15"/>
      <c r="L76" s="15"/>
      <c r="M76" s="16"/>
      <c r="N76" s="47"/>
      <c r="O76" s="15"/>
      <c r="P76" s="15"/>
      <c r="Q76" s="37"/>
      <c r="R76" s="117">
        <f>S76+U76</f>
        <v>0</v>
      </c>
      <c r="S76" s="118"/>
      <c r="T76" s="118"/>
      <c r="U76" s="119"/>
      <c r="V76" s="219"/>
      <c r="W76" s="220"/>
      <c r="Y76" s="25"/>
    </row>
    <row r="77" spans="1:25" ht="13.5" customHeight="1">
      <c r="A77" s="380"/>
      <c r="B77" s="365"/>
      <c r="C77" s="379"/>
      <c r="D77" s="374"/>
      <c r="E77" s="349"/>
      <c r="F77" s="406"/>
      <c r="G77" s="332"/>
      <c r="H77" s="303"/>
      <c r="I77" s="20" t="s">
        <v>19</v>
      </c>
      <c r="J77" s="14">
        <f>K77+M77</f>
        <v>3.3</v>
      </c>
      <c r="K77" s="15">
        <v>3.3</v>
      </c>
      <c r="L77" s="15"/>
      <c r="M77" s="16"/>
      <c r="N77" s="47">
        <f>O77+Q77</f>
        <v>5.5</v>
      </c>
      <c r="O77" s="15">
        <v>5.5</v>
      </c>
      <c r="P77" s="15"/>
      <c r="Q77" s="37"/>
      <c r="R77" s="117">
        <f>S77+U77</f>
        <v>0</v>
      </c>
      <c r="S77" s="118"/>
      <c r="T77" s="118"/>
      <c r="U77" s="119"/>
      <c r="V77" s="219">
        <v>5</v>
      </c>
      <c r="W77" s="220">
        <v>5</v>
      </c>
      <c r="Y77" s="25"/>
    </row>
    <row r="78" spans="1:25" ht="12" customHeight="1">
      <c r="A78" s="380"/>
      <c r="B78" s="365"/>
      <c r="C78" s="379"/>
      <c r="D78" s="374"/>
      <c r="E78" s="349"/>
      <c r="F78" s="406"/>
      <c r="G78" s="332"/>
      <c r="H78" s="303"/>
      <c r="I78" s="20" t="s">
        <v>70</v>
      </c>
      <c r="J78" s="14">
        <f>K78+M78</f>
        <v>0</v>
      </c>
      <c r="K78" s="15"/>
      <c r="L78" s="68"/>
      <c r="M78" s="69"/>
      <c r="N78" s="47">
        <f>O78+Q78</f>
        <v>0</v>
      </c>
      <c r="O78" s="15"/>
      <c r="P78" s="68"/>
      <c r="Q78" s="70"/>
      <c r="R78" s="117">
        <f>S78+U78</f>
        <v>0</v>
      </c>
      <c r="S78" s="118"/>
      <c r="T78" s="120"/>
      <c r="U78" s="121"/>
      <c r="V78" s="221"/>
      <c r="W78" s="222"/>
      <c r="Y78" s="25"/>
    </row>
    <row r="79" spans="1:26" ht="14.25" customHeight="1" thickBot="1">
      <c r="A79" s="398"/>
      <c r="B79" s="400"/>
      <c r="C79" s="402"/>
      <c r="D79" s="375"/>
      <c r="E79" s="404"/>
      <c r="F79" s="407"/>
      <c r="G79" s="333"/>
      <c r="H79" s="304"/>
      <c r="I79" s="122" t="s">
        <v>15</v>
      </c>
      <c r="J79" s="108">
        <f>M79+K79</f>
        <v>398.8</v>
      </c>
      <c r="K79" s="109">
        <f>K75+K74+K77+K78</f>
        <v>398</v>
      </c>
      <c r="L79" s="109">
        <f>L75+L74+L77+L78</f>
        <v>270</v>
      </c>
      <c r="M79" s="110">
        <f>M77+M75+M74</f>
        <v>0.8</v>
      </c>
      <c r="N79" s="111">
        <f>Q79+O79</f>
        <v>433.1</v>
      </c>
      <c r="O79" s="109">
        <f>O75+O74+O77+O78</f>
        <v>433.1</v>
      </c>
      <c r="P79" s="109">
        <f>P75+P74+P77+P78</f>
        <v>290.7</v>
      </c>
      <c r="Q79" s="112">
        <f>Q77+Q75+Q74</f>
        <v>0</v>
      </c>
      <c r="R79" s="108">
        <f>U79+S79</f>
        <v>0</v>
      </c>
      <c r="S79" s="109">
        <f>S75+S74+S77+S78+S76</f>
        <v>0</v>
      </c>
      <c r="T79" s="109">
        <f>T75+T74+T77+T78+T76</f>
        <v>0</v>
      </c>
      <c r="U79" s="110">
        <f>U77+U75+U74</f>
        <v>0</v>
      </c>
      <c r="V79" s="223">
        <f>V75+V74+V77+V78</f>
        <v>465</v>
      </c>
      <c r="W79" s="224">
        <f>W77+W75+W74+W78</f>
        <v>485</v>
      </c>
      <c r="X79" s="9"/>
      <c r="Z79" s="10"/>
    </row>
    <row r="80" spans="1:23" ht="15.75" customHeight="1">
      <c r="A80" s="344" t="s">
        <v>11</v>
      </c>
      <c r="B80" s="346" t="s">
        <v>11</v>
      </c>
      <c r="C80" s="340" t="s">
        <v>41</v>
      </c>
      <c r="D80" s="393" t="s">
        <v>62</v>
      </c>
      <c r="E80" s="334"/>
      <c r="F80" s="384" t="s">
        <v>12</v>
      </c>
      <c r="G80" s="299" t="s">
        <v>114</v>
      </c>
      <c r="H80" s="391" t="s">
        <v>106</v>
      </c>
      <c r="I80" s="19" t="s">
        <v>14</v>
      </c>
      <c r="J80" s="48">
        <f>K80+M80</f>
        <v>166.4</v>
      </c>
      <c r="K80" s="49">
        <v>166.4</v>
      </c>
      <c r="L80" s="49">
        <v>95</v>
      </c>
      <c r="M80" s="60"/>
      <c r="N80" s="61">
        <f>O80+Q80</f>
        <v>204.1</v>
      </c>
      <c r="O80" s="49">
        <v>204.1</v>
      </c>
      <c r="P80" s="49">
        <v>107.8</v>
      </c>
      <c r="Q80" s="50"/>
      <c r="R80" s="114">
        <f>S80+U80</f>
        <v>0</v>
      </c>
      <c r="S80" s="115"/>
      <c r="T80" s="115"/>
      <c r="U80" s="116"/>
      <c r="V80" s="217">
        <v>210</v>
      </c>
      <c r="W80" s="218">
        <v>230</v>
      </c>
    </row>
    <row r="81" spans="1:23" ht="15" customHeight="1">
      <c r="A81" s="367"/>
      <c r="B81" s="369"/>
      <c r="C81" s="371"/>
      <c r="D81" s="394"/>
      <c r="E81" s="335"/>
      <c r="F81" s="385"/>
      <c r="G81" s="300"/>
      <c r="H81" s="381"/>
      <c r="I81" s="20" t="s">
        <v>73</v>
      </c>
      <c r="J81" s="14">
        <f>K81+M81</f>
        <v>263.2</v>
      </c>
      <c r="K81" s="15">
        <f>263.2</f>
        <v>263.2</v>
      </c>
      <c r="L81" s="15">
        <f>194.4</f>
        <v>194.4</v>
      </c>
      <c r="M81" s="16"/>
      <c r="N81" s="47">
        <f>O81+Q81</f>
        <v>279</v>
      </c>
      <c r="O81" s="15">
        <v>279</v>
      </c>
      <c r="P81" s="15">
        <v>211.1</v>
      </c>
      <c r="Q81" s="37"/>
      <c r="R81" s="117">
        <f>S81+U81</f>
        <v>0</v>
      </c>
      <c r="S81" s="118"/>
      <c r="T81" s="118"/>
      <c r="U81" s="119"/>
      <c r="V81" s="219">
        <v>290</v>
      </c>
      <c r="W81" s="220">
        <v>310</v>
      </c>
    </row>
    <row r="82" spans="1:23" ht="14.25" customHeight="1">
      <c r="A82" s="368"/>
      <c r="B82" s="370"/>
      <c r="C82" s="372"/>
      <c r="D82" s="395"/>
      <c r="E82" s="383"/>
      <c r="F82" s="386"/>
      <c r="G82" s="300"/>
      <c r="H82" s="382"/>
      <c r="I82" s="20" t="s">
        <v>164</v>
      </c>
      <c r="J82" s="14"/>
      <c r="K82" s="15"/>
      <c r="L82" s="15"/>
      <c r="M82" s="16"/>
      <c r="N82" s="47"/>
      <c r="O82" s="15"/>
      <c r="P82" s="15"/>
      <c r="Q82" s="37"/>
      <c r="R82" s="117">
        <f>S82+U82</f>
        <v>0</v>
      </c>
      <c r="S82" s="118"/>
      <c r="T82" s="118"/>
      <c r="U82" s="119"/>
      <c r="V82" s="219"/>
      <c r="W82" s="220"/>
    </row>
    <row r="83" spans="1:23" ht="14.25" customHeight="1">
      <c r="A83" s="368"/>
      <c r="B83" s="370"/>
      <c r="C83" s="372"/>
      <c r="D83" s="395"/>
      <c r="E83" s="383"/>
      <c r="F83" s="386"/>
      <c r="G83" s="300"/>
      <c r="H83" s="382"/>
      <c r="I83" s="20" t="s">
        <v>19</v>
      </c>
      <c r="J83" s="14">
        <f>K83+M83</f>
        <v>2.7</v>
      </c>
      <c r="K83" s="15">
        <v>2.7</v>
      </c>
      <c r="L83" s="15"/>
      <c r="M83" s="16"/>
      <c r="N83" s="47">
        <f>O83+Q83</f>
        <v>2.1</v>
      </c>
      <c r="O83" s="15">
        <v>2.1</v>
      </c>
      <c r="P83" s="15"/>
      <c r="Q83" s="37"/>
      <c r="R83" s="117">
        <f>S83+U83</f>
        <v>0</v>
      </c>
      <c r="S83" s="118"/>
      <c r="T83" s="118"/>
      <c r="U83" s="119"/>
      <c r="V83" s="219">
        <v>2</v>
      </c>
      <c r="W83" s="220">
        <v>2</v>
      </c>
    </row>
    <row r="84" spans="1:23" ht="13.5" customHeight="1">
      <c r="A84" s="368"/>
      <c r="B84" s="370"/>
      <c r="C84" s="372"/>
      <c r="D84" s="395"/>
      <c r="E84" s="383"/>
      <c r="F84" s="386"/>
      <c r="G84" s="300"/>
      <c r="H84" s="382"/>
      <c r="I84" s="20" t="s">
        <v>70</v>
      </c>
      <c r="J84" s="14">
        <f>K84+M84</f>
        <v>0.1</v>
      </c>
      <c r="K84" s="15">
        <v>0.1</v>
      </c>
      <c r="L84" s="68"/>
      <c r="M84" s="69"/>
      <c r="N84" s="47">
        <f>O84+Q84</f>
        <v>0</v>
      </c>
      <c r="O84" s="15"/>
      <c r="P84" s="68"/>
      <c r="Q84" s="70"/>
      <c r="R84" s="117">
        <f>S84+U84</f>
        <v>0</v>
      </c>
      <c r="S84" s="118"/>
      <c r="T84" s="120"/>
      <c r="U84" s="121"/>
      <c r="V84" s="221"/>
      <c r="W84" s="222"/>
    </row>
    <row r="85" spans="1:26" ht="14.25" customHeight="1" thickBot="1">
      <c r="A85" s="345"/>
      <c r="B85" s="347"/>
      <c r="C85" s="341"/>
      <c r="D85" s="396"/>
      <c r="E85" s="336"/>
      <c r="F85" s="387"/>
      <c r="G85" s="301"/>
      <c r="H85" s="304"/>
      <c r="I85" s="113" t="s">
        <v>15</v>
      </c>
      <c r="J85" s="108">
        <f>M85+K85</f>
        <v>432.40000000000003</v>
      </c>
      <c r="K85" s="109">
        <f>K81+K80+K83+K84</f>
        <v>432.40000000000003</v>
      </c>
      <c r="L85" s="109">
        <f>L81+L80+L83+L84</f>
        <v>289.4</v>
      </c>
      <c r="M85" s="110">
        <f>M83+M81+M80</f>
        <v>0</v>
      </c>
      <c r="N85" s="111">
        <f>Q85+O85</f>
        <v>485.20000000000005</v>
      </c>
      <c r="O85" s="109">
        <f>O81+O80+O83+O84</f>
        <v>485.20000000000005</v>
      </c>
      <c r="P85" s="109">
        <f>P81+P80+P83+P84</f>
        <v>318.9</v>
      </c>
      <c r="Q85" s="112">
        <f>Q83+Q81+Q80</f>
        <v>0</v>
      </c>
      <c r="R85" s="108">
        <f>U85+S85</f>
        <v>0</v>
      </c>
      <c r="S85" s="109">
        <f>S81+S80+S83+S84+S82</f>
        <v>0</v>
      </c>
      <c r="T85" s="109">
        <f>T81+T80+T83+T84+T82</f>
        <v>0</v>
      </c>
      <c r="U85" s="110">
        <f>U83+U81+U80</f>
        <v>0</v>
      </c>
      <c r="V85" s="223">
        <f>V81+V80+V83+V84</f>
        <v>502</v>
      </c>
      <c r="W85" s="224">
        <f>W83+W81+W80+W84</f>
        <v>542</v>
      </c>
      <c r="X85" s="58"/>
      <c r="Z85" s="10"/>
    </row>
    <row r="86" spans="1:23" ht="15.75" customHeight="1">
      <c r="A86" s="344" t="s">
        <v>11</v>
      </c>
      <c r="B86" s="346" t="s">
        <v>11</v>
      </c>
      <c r="C86" s="340" t="s">
        <v>42</v>
      </c>
      <c r="D86" s="373" t="s">
        <v>63</v>
      </c>
      <c r="E86" s="334"/>
      <c r="F86" s="384" t="s">
        <v>12</v>
      </c>
      <c r="G86" s="299" t="s">
        <v>115</v>
      </c>
      <c r="H86" s="391" t="s">
        <v>107</v>
      </c>
      <c r="I86" s="19" t="s">
        <v>14</v>
      </c>
      <c r="J86" s="48">
        <f>K86+M86</f>
        <v>192.2</v>
      </c>
      <c r="K86" s="49">
        <v>192.2</v>
      </c>
      <c r="L86" s="49">
        <v>119</v>
      </c>
      <c r="M86" s="60"/>
      <c r="N86" s="61">
        <f>O86+Q86</f>
        <v>234.6</v>
      </c>
      <c r="O86" s="49">
        <v>234.6</v>
      </c>
      <c r="P86" s="49">
        <v>136.1</v>
      </c>
      <c r="Q86" s="50"/>
      <c r="R86" s="114">
        <f>S86+U86</f>
        <v>0</v>
      </c>
      <c r="S86" s="115"/>
      <c r="T86" s="115"/>
      <c r="U86" s="116"/>
      <c r="V86" s="217">
        <v>240</v>
      </c>
      <c r="W86" s="218">
        <v>260</v>
      </c>
    </row>
    <row r="87" spans="1:23" ht="16.5" customHeight="1">
      <c r="A87" s="367"/>
      <c r="B87" s="369"/>
      <c r="C87" s="371"/>
      <c r="D87" s="374"/>
      <c r="E87" s="335"/>
      <c r="F87" s="385"/>
      <c r="G87" s="300"/>
      <c r="H87" s="381"/>
      <c r="I87" s="20" t="s">
        <v>73</v>
      </c>
      <c r="J87" s="14">
        <f>K87+M87</f>
        <v>265.5</v>
      </c>
      <c r="K87" s="15">
        <f>265.5</f>
        <v>265.5</v>
      </c>
      <c r="L87" s="15">
        <f>197.4</f>
        <v>197.4</v>
      </c>
      <c r="M87" s="16"/>
      <c r="N87" s="47">
        <f>O87+Q87</f>
        <v>264.4</v>
      </c>
      <c r="O87" s="15">
        <v>264.4</v>
      </c>
      <c r="P87" s="15">
        <v>201.5</v>
      </c>
      <c r="Q87" s="37"/>
      <c r="R87" s="117">
        <f>S87+U87</f>
        <v>0</v>
      </c>
      <c r="S87" s="118"/>
      <c r="T87" s="118"/>
      <c r="U87" s="119"/>
      <c r="V87" s="219">
        <v>280</v>
      </c>
      <c r="W87" s="220">
        <v>300</v>
      </c>
    </row>
    <row r="88" spans="1:23" ht="14.25" customHeight="1">
      <c r="A88" s="368"/>
      <c r="B88" s="370"/>
      <c r="C88" s="372"/>
      <c r="D88" s="374"/>
      <c r="E88" s="383"/>
      <c r="F88" s="386"/>
      <c r="G88" s="300"/>
      <c r="H88" s="382"/>
      <c r="I88" s="20" t="s">
        <v>164</v>
      </c>
      <c r="J88" s="14"/>
      <c r="K88" s="15"/>
      <c r="L88" s="15"/>
      <c r="M88" s="16"/>
      <c r="N88" s="47"/>
      <c r="O88" s="15"/>
      <c r="P88" s="15"/>
      <c r="Q88" s="37"/>
      <c r="R88" s="117">
        <f>S88+U88</f>
        <v>0</v>
      </c>
      <c r="S88" s="118"/>
      <c r="T88" s="118"/>
      <c r="U88" s="119"/>
      <c r="V88" s="219"/>
      <c r="W88" s="220"/>
    </row>
    <row r="89" spans="1:23" ht="14.25" customHeight="1">
      <c r="A89" s="368"/>
      <c r="B89" s="370"/>
      <c r="C89" s="372"/>
      <c r="D89" s="374"/>
      <c r="E89" s="383"/>
      <c r="F89" s="386"/>
      <c r="G89" s="300"/>
      <c r="H89" s="382"/>
      <c r="I89" s="20" t="s">
        <v>19</v>
      </c>
      <c r="J89" s="14">
        <f>K89+M89</f>
        <v>6.2</v>
      </c>
      <c r="K89" s="15">
        <v>6.2</v>
      </c>
      <c r="L89" s="15"/>
      <c r="M89" s="16"/>
      <c r="N89" s="47">
        <f>O89+Q89</f>
        <v>3.5</v>
      </c>
      <c r="O89" s="15">
        <v>3.5</v>
      </c>
      <c r="P89" s="15"/>
      <c r="Q89" s="37"/>
      <c r="R89" s="117">
        <f>S89+U89</f>
        <v>0</v>
      </c>
      <c r="S89" s="118"/>
      <c r="T89" s="118"/>
      <c r="U89" s="119"/>
      <c r="V89" s="219">
        <v>7</v>
      </c>
      <c r="W89" s="220">
        <v>7</v>
      </c>
    </row>
    <row r="90" spans="1:23" ht="12.75" customHeight="1">
      <c r="A90" s="368"/>
      <c r="B90" s="370"/>
      <c r="C90" s="372"/>
      <c r="D90" s="374"/>
      <c r="E90" s="383"/>
      <c r="F90" s="386"/>
      <c r="G90" s="300"/>
      <c r="H90" s="382"/>
      <c r="I90" s="20" t="s">
        <v>70</v>
      </c>
      <c r="J90" s="14">
        <f>K90+M90</f>
        <v>0</v>
      </c>
      <c r="K90" s="15"/>
      <c r="L90" s="68"/>
      <c r="M90" s="69"/>
      <c r="N90" s="47">
        <f>O90+Q90</f>
        <v>0</v>
      </c>
      <c r="O90" s="15"/>
      <c r="P90" s="68"/>
      <c r="Q90" s="70"/>
      <c r="R90" s="117">
        <f>S90+U90</f>
        <v>0</v>
      </c>
      <c r="S90" s="118"/>
      <c r="T90" s="120"/>
      <c r="U90" s="121"/>
      <c r="V90" s="221"/>
      <c r="W90" s="222"/>
    </row>
    <row r="91" spans="1:26" ht="15.75" customHeight="1" thickBot="1">
      <c r="A91" s="345"/>
      <c r="B91" s="347"/>
      <c r="C91" s="341"/>
      <c r="D91" s="375"/>
      <c r="E91" s="336"/>
      <c r="F91" s="387"/>
      <c r="G91" s="301"/>
      <c r="H91" s="304"/>
      <c r="I91" s="113" t="s">
        <v>15</v>
      </c>
      <c r="J91" s="108">
        <f>M91+K91</f>
        <v>463.9</v>
      </c>
      <c r="K91" s="109">
        <f>K87+K86+K89+K90</f>
        <v>463.9</v>
      </c>
      <c r="L91" s="109">
        <f>L87+L86+L89+L90</f>
        <v>316.4</v>
      </c>
      <c r="M91" s="110">
        <f>M89+M87+M86</f>
        <v>0</v>
      </c>
      <c r="N91" s="111">
        <f>Q91+O91</f>
        <v>502.5</v>
      </c>
      <c r="O91" s="109">
        <f>O87+O86+O89+O90</f>
        <v>502.5</v>
      </c>
      <c r="P91" s="109">
        <f>P87+P86+P89+P90</f>
        <v>337.6</v>
      </c>
      <c r="Q91" s="112">
        <f>Q89+Q87+Q86</f>
        <v>0</v>
      </c>
      <c r="R91" s="108">
        <f>U91+S91</f>
        <v>0</v>
      </c>
      <c r="S91" s="109">
        <f>S87+S86+S89+S90+S88</f>
        <v>0</v>
      </c>
      <c r="T91" s="109">
        <f>T87+T86+T89+T90+T88</f>
        <v>0</v>
      </c>
      <c r="U91" s="110">
        <f>U89+U87+U86</f>
        <v>0</v>
      </c>
      <c r="V91" s="223">
        <f>V87+V86+V89+V90</f>
        <v>527</v>
      </c>
      <c r="W91" s="224">
        <f>W89+W87+W86+W90</f>
        <v>567</v>
      </c>
      <c r="X91" s="58"/>
      <c r="Z91" s="10"/>
    </row>
    <row r="92" spans="1:23" ht="16.5" customHeight="1">
      <c r="A92" s="344" t="s">
        <v>11</v>
      </c>
      <c r="B92" s="346" t="s">
        <v>11</v>
      </c>
      <c r="C92" s="340" t="s">
        <v>27</v>
      </c>
      <c r="D92" s="373" t="s">
        <v>64</v>
      </c>
      <c r="E92" s="334"/>
      <c r="F92" s="384" t="s">
        <v>12</v>
      </c>
      <c r="G92" s="299" t="s">
        <v>116</v>
      </c>
      <c r="H92" s="391" t="s">
        <v>108</v>
      </c>
      <c r="I92" s="19" t="s">
        <v>14</v>
      </c>
      <c r="J92" s="48">
        <f>K92+M92</f>
        <v>183.2</v>
      </c>
      <c r="K92" s="49">
        <v>183.2</v>
      </c>
      <c r="L92" s="49">
        <v>100.6</v>
      </c>
      <c r="M92" s="60"/>
      <c r="N92" s="61">
        <f>O92+Q92</f>
        <v>244.6</v>
      </c>
      <c r="O92" s="49">
        <v>244.6</v>
      </c>
      <c r="P92" s="49">
        <v>112.8</v>
      </c>
      <c r="Q92" s="50"/>
      <c r="R92" s="114">
        <f>S92+U92</f>
        <v>0</v>
      </c>
      <c r="S92" s="115"/>
      <c r="T92" s="115"/>
      <c r="U92" s="116"/>
      <c r="V92" s="217">
        <v>250</v>
      </c>
      <c r="W92" s="218">
        <v>260</v>
      </c>
    </row>
    <row r="93" spans="1:23" ht="16.5" customHeight="1">
      <c r="A93" s="367"/>
      <c r="B93" s="369"/>
      <c r="C93" s="371"/>
      <c r="D93" s="374"/>
      <c r="E93" s="335"/>
      <c r="F93" s="385"/>
      <c r="G93" s="300"/>
      <c r="H93" s="381"/>
      <c r="I93" s="20" t="s">
        <v>73</v>
      </c>
      <c r="J93" s="14">
        <f>K93+M93</f>
        <v>258</v>
      </c>
      <c r="K93" s="15">
        <f>258</f>
        <v>258</v>
      </c>
      <c r="L93" s="15">
        <f>191.6</f>
        <v>191.6</v>
      </c>
      <c r="M93" s="16"/>
      <c r="N93" s="47">
        <f>O93+Q93</f>
        <v>270.7</v>
      </c>
      <c r="O93" s="15">
        <v>270.7</v>
      </c>
      <c r="P93" s="15">
        <v>205.3</v>
      </c>
      <c r="Q93" s="37"/>
      <c r="R93" s="117">
        <f>S93+U93</f>
        <v>0</v>
      </c>
      <c r="S93" s="118"/>
      <c r="T93" s="118"/>
      <c r="U93" s="119"/>
      <c r="V93" s="219">
        <v>285</v>
      </c>
      <c r="W93" s="220">
        <v>300</v>
      </c>
    </row>
    <row r="94" spans="1:23" ht="14.25" customHeight="1">
      <c r="A94" s="368"/>
      <c r="B94" s="370"/>
      <c r="C94" s="372"/>
      <c r="D94" s="374"/>
      <c r="E94" s="383"/>
      <c r="F94" s="386"/>
      <c r="G94" s="300"/>
      <c r="H94" s="382"/>
      <c r="I94" s="20" t="s">
        <v>164</v>
      </c>
      <c r="J94" s="14"/>
      <c r="K94" s="15"/>
      <c r="L94" s="15"/>
      <c r="M94" s="16"/>
      <c r="N94" s="47"/>
      <c r="O94" s="15"/>
      <c r="P94" s="15"/>
      <c r="Q94" s="37"/>
      <c r="R94" s="117">
        <f>S94+U94</f>
        <v>0</v>
      </c>
      <c r="S94" s="118"/>
      <c r="T94" s="118"/>
      <c r="U94" s="119"/>
      <c r="V94" s="219"/>
      <c r="W94" s="220"/>
    </row>
    <row r="95" spans="1:23" ht="14.25" customHeight="1">
      <c r="A95" s="368"/>
      <c r="B95" s="370"/>
      <c r="C95" s="372"/>
      <c r="D95" s="374"/>
      <c r="E95" s="383"/>
      <c r="F95" s="386"/>
      <c r="G95" s="300"/>
      <c r="H95" s="382"/>
      <c r="I95" s="20" t="s">
        <v>19</v>
      </c>
      <c r="J95" s="14">
        <f>K95+M95</f>
        <v>6</v>
      </c>
      <c r="K95" s="15">
        <v>6</v>
      </c>
      <c r="L95" s="15"/>
      <c r="M95" s="16"/>
      <c r="N95" s="47">
        <f>O95+Q95</f>
        <v>5.6</v>
      </c>
      <c r="O95" s="15">
        <v>5.6</v>
      </c>
      <c r="P95" s="15"/>
      <c r="Q95" s="37"/>
      <c r="R95" s="117">
        <f>S95+U95</f>
        <v>0</v>
      </c>
      <c r="S95" s="118"/>
      <c r="T95" s="118"/>
      <c r="U95" s="119"/>
      <c r="V95" s="219">
        <v>6</v>
      </c>
      <c r="W95" s="220">
        <v>6</v>
      </c>
    </row>
    <row r="96" spans="1:23" ht="14.25" customHeight="1">
      <c r="A96" s="368"/>
      <c r="B96" s="370"/>
      <c r="C96" s="372"/>
      <c r="D96" s="374"/>
      <c r="E96" s="383"/>
      <c r="F96" s="386"/>
      <c r="G96" s="300"/>
      <c r="H96" s="382"/>
      <c r="I96" s="20" t="s">
        <v>70</v>
      </c>
      <c r="J96" s="14">
        <f>K96+M96</f>
        <v>0</v>
      </c>
      <c r="K96" s="15"/>
      <c r="L96" s="68"/>
      <c r="M96" s="69"/>
      <c r="N96" s="47">
        <f>O96+Q96</f>
        <v>0.3</v>
      </c>
      <c r="O96" s="15">
        <v>0.3</v>
      </c>
      <c r="P96" s="68"/>
      <c r="Q96" s="70"/>
      <c r="R96" s="117">
        <f>S96+U96</f>
        <v>0</v>
      </c>
      <c r="S96" s="118"/>
      <c r="T96" s="120"/>
      <c r="U96" s="121"/>
      <c r="V96" s="221"/>
      <c r="W96" s="222"/>
    </row>
    <row r="97" spans="1:26" ht="15" customHeight="1" thickBot="1">
      <c r="A97" s="345"/>
      <c r="B97" s="347"/>
      <c r="C97" s="341"/>
      <c r="D97" s="375"/>
      <c r="E97" s="336"/>
      <c r="F97" s="387"/>
      <c r="G97" s="301"/>
      <c r="H97" s="304"/>
      <c r="I97" s="113" t="s">
        <v>15</v>
      </c>
      <c r="J97" s="108">
        <f>M97+K97</f>
        <v>447.2</v>
      </c>
      <c r="K97" s="109">
        <f>K93+K92+K95+K96</f>
        <v>447.2</v>
      </c>
      <c r="L97" s="109">
        <f>L93+L92+L95+L96</f>
        <v>292.2</v>
      </c>
      <c r="M97" s="110">
        <f>M95+M93+M92</f>
        <v>0</v>
      </c>
      <c r="N97" s="111">
        <f>Q97+O97</f>
        <v>521.1999999999999</v>
      </c>
      <c r="O97" s="109">
        <f>O93+O92+O95+O96</f>
        <v>521.1999999999999</v>
      </c>
      <c r="P97" s="109">
        <f>P93+P92+P95+P96</f>
        <v>318.1</v>
      </c>
      <c r="Q97" s="112">
        <f>Q95+Q93+Q92</f>
        <v>0</v>
      </c>
      <c r="R97" s="108">
        <f>U97+S97</f>
        <v>0</v>
      </c>
      <c r="S97" s="109">
        <f>S93+S92+S95+S96+S94</f>
        <v>0</v>
      </c>
      <c r="T97" s="109">
        <f>T93+T92+T95+T96+T94</f>
        <v>0</v>
      </c>
      <c r="U97" s="110">
        <f>U95+U93+U92</f>
        <v>0</v>
      </c>
      <c r="V97" s="223">
        <f>V93+V92+V95+V96</f>
        <v>541</v>
      </c>
      <c r="W97" s="224">
        <f>W95+W93+W92+W96</f>
        <v>566</v>
      </c>
      <c r="X97" s="58"/>
      <c r="Z97" s="10"/>
    </row>
    <row r="98" spans="1:23" ht="15" customHeight="1">
      <c r="A98" s="344" t="s">
        <v>11</v>
      </c>
      <c r="B98" s="346" t="s">
        <v>11</v>
      </c>
      <c r="C98" s="340" t="s">
        <v>51</v>
      </c>
      <c r="D98" s="373" t="s">
        <v>65</v>
      </c>
      <c r="E98" s="334"/>
      <c r="F98" s="384" t="s">
        <v>12</v>
      </c>
      <c r="G98" s="299" t="s">
        <v>117</v>
      </c>
      <c r="H98" s="391" t="s">
        <v>109</v>
      </c>
      <c r="I98" s="19" t="s">
        <v>14</v>
      </c>
      <c r="J98" s="48">
        <f>K98+M98</f>
        <v>88.7</v>
      </c>
      <c r="K98" s="49">
        <v>88.7</v>
      </c>
      <c r="L98" s="49">
        <v>54.2</v>
      </c>
      <c r="M98" s="60"/>
      <c r="N98" s="61">
        <f>O98+Q98</f>
        <v>98.8</v>
      </c>
      <c r="O98" s="49">
        <v>98.8</v>
      </c>
      <c r="P98" s="49">
        <v>61.6</v>
      </c>
      <c r="Q98" s="50"/>
      <c r="R98" s="114">
        <f>S98+U98</f>
        <v>0</v>
      </c>
      <c r="S98" s="115"/>
      <c r="T98" s="115"/>
      <c r="U98" s="116"/>
      <c r="V98" s="217"/>
      <c r="W98" s="218"/>
    </row>
    <row r="99" spans="1:23" ht="15" customHeight="1">
      <c r="A99" s="367"/>
      <c r="B99" s="369"/>
      <c r="C99" s="371"/>
      <c r="D99" s="374"/>
      <c r="E99" s="335"/>
      <c r="F99" s="385"/>
      <c r="G99" s="300"/>
      <c r="H99" s="381"/>
      <c r="I99" s="20" t="s">
        <v>73</v>
      </c>
      <c r="J99" s="14">
        <f>K99+M99</f>
        <v>191.2</v>
      </c>
      <c r="K99" s="15">
        <f>191.2</f>
        <v>191.2</v>
      </c>
      <c r="L99" s="15">
        <f>143.2</f>
        <v>143.2</v>
      </c>
      <c r="M99" s="16"/>
      <c r="N99" s="47">
        <f>O99+Q99</f>
        <v>130</v>
      </c>
      <c r="O99" s="15">
        <v>130</v>
      </c>
      <c r="P99" s="15">
        <v>99</v>
      </c>
      <c r="Q99" s="37"/>
      <c r="R99" s="117">
        <f>S99+U99</f>
        <v>0</v>
      </c>
      <c r="S99" s="118"/>
      <c r="T99" s="118"/>
      <c r="U99" s="119"/>
      <c r="V99" s="219"/>
      <c r="W99" s="220"/>
    </row>
    <row r="100" spans="1:23" ht="15" customHeight="1">
      <c r="A100" s="368"/>
      <c r="B100" s="370"/>
      <c r="C100" s="372"/>
      <c r="D100" s="374"/>
      <c r="E100" s="383"/>
      <c r="F100" s="386"/>
      <c r="G100" s="300"/>
      <c r="H100" s="382"/>
      <c r="I100" s="20" t="s">
        <v>164</v>
      </c>
      <c r="J100" s="14"/>
      <c r="K100" s="15"/>
      <c r="L100" s="15"/>
      <c r="M100" s="16"/>
      <c r="N100" s="47"/>
      <c r="O100" s="15"/>
      <c r="P100" s="15"/>
      <c r="Q100" s="37"/>
      <c r="R100" s="117">
        <f>S100+U100</f>
        <v>0</v>
      </c>
      <c r="S100" s="118"/>
      <c r="T100" s="118"/>
      <c r="U100" s="119"/>
      <c r="V100" s="219"/>
      <c r="W100" s="220"/>
    </row>
    <row r="101" spans="1:23" ht="12" customHeight="1">
      <c r="A101" s="368"/>
      <c r="B101" s="370"/>
      <c r="C101" s="372"/>
      <c r="D101" s="374"/>
      <c r="E101" s="383"/>
      <c r="F101" s="386"/>
      <c r="G101" s="300"/>
      <c r="H101" s="382"/>
      <c r="I101" s="20" t="s">
        <v>19</v>
      </c>
      <c r="J101" s="14">
        <f>K101+M101</f>
        <v>0</v>
      </c>
      <c r="K101" s="15"/>
      <c r="L101" s="15"/>
      <c r="M101" s="16"/>
      <c r="N101" s="47">
        <f>O101+Q101</f>
        <v>0</v>
      </c>
      <c r="O101" s="15"/>
      <c r="P101" s="15"/>
      <c r="Q101" s="37"/>
      <c r="R101" s="117">
        <f>S101+U101</f>
        <v>0</v>
      </c>
      <c r="S101" s="118"/>
      <c r="T101" s="118"/>
      <c r="U101" s="119"/>
      <c r="V101" s="219"/>
      <c r="W101" s="220"/>
    </row>
    <row r="102" spans="1:23" ht="11.25" customHeight="1">
      <c r="A102" s="368"/>
      <c r="B102" s="370"/>
      <c r="C102" s="372"/>
      <c r="D102" s="374"/>
      <c r="E102" s="383"/>
      <c r="F102" s="386"/>
      <c r="G102" s="300"/>
      <c r="H102" s="382"/>
      <c r="I102" s="20" t="s">
        <v>70</v>
      </c>
      <c r="J102" s="14">
        <f>K102+M102</f>
        <v>0</v>
      </c>
      <c r="K102" s="15"/>
      <c r="L102" s="68"/>
      <c r="M102" s="69"/>
      <c r="N102" s="47">
        <f>O102+Q102</f>
        <v>0</v>
      </c>
      <c r="O102" s="15"/>
      <c r="P102" s="68"/>
      <c r="Q102" s="70"/>
      <c r="R102" s="117">
        <f>S102+U102</f>
        <v>0</v>
      </c>
      <c r="S102" s="118"/>
      <c r="T102" s="120"/>
      <c r="U102" s="121"/>
      <c r="V102" s="221"/>
      <c r="W102" s="222"/>
    </row>
    <row r="103" spans="1:26" ht="15" customHeight="1" thickBot="1">
      <c r="A103" s="345"/>
      <c r="B103" s="347"/>
      <c r="C103" s="341"/>
      <c r="D103" s="375"/>
      <c r="E103" s="336"/>
      <c r="F103" s="387"/>
      <c r="G103" s="301"/>
      <c r="H103" s="304"/>
      <c r="I103" s="113" t="s">
        <v>15</v>
      </c>
      <c r="J103" s="108">
        <f>M103+K103</f>
        <v>279.9</v>
      </c>
      <c r="K103" s="109">
        <f>K99+K98+K101+K102</f>
        <v>279.9</v>
      </c>
      <c r="L103" s="109">
        <f>L99+L98+L101+L102</f>
        <v>197.39999999999998</v>
      </c>
      <c r="M103" s="110">
        <f>M101+M99+M98</f>
        <v>0</v>
      </c>
      <c r="N103" s="111">
        <f>Q103+O103</f>
        <v>228.8</v>
      </c>
      <c r="O103" s="109">
        <f>O99+O98+O101+O102</f>
        <v>228.8</v>
      </c>
      <c r="P103" s="109">
        <f>P99+P98+P101+P102</f>
        <v>160.6</v>
      </c>
      <c r="Q103" s="112">
        <f>Q101+Q99+Q98</f>
        <v>0</v>
      </c>
      <c r="R103" s="108">
        <f>U103+S103</f>
        <v>0</v>
      </c>
      <c r="S103" s="109">
        <f>S99+S98+S101+S102+S100</f>
        <v>0</v>
      </c>
      <c r="T103" s="109">
        <f>T99+T98+T101+T102+T100</f>
        <v>0</v>
      </c>
      <c r="U103" s="110">
        <f>U101+U99+U98</f>
        <v>0</v>
      </c>
      <c r="V103" s="223">
        <f>V99+V98+V101+V102</f>
        <v>0</v>
      </c>
      <c r="W103" s="224">
        <f>W101+W99+W98+W102</f>
        <v>0</v>
      </c>
      <c r="X103" s="58"/>
      <c r="Z103" s="10"/>
    </row>
    <row r="104" spans="1:23" ht="15" customHeight="1">
      <c r="A104" s="344" t="s">
        <v>11</v>
      </c>
      <c r="B104" s="346" t="s">
        <v>11</v>
      </c>
      <c r="C104" s="340" t="s">
        <v>52</v>
      </c>
      <c r="D104" s="393" t="s">
        <v>66</v>
      </c>
      <c r="E104" s="334"/>
      <c r="F104" s="384" t="s">
        <v>12</v>
      </c>
      <c r="G104" s="299" t="s">
        <v>118</v>
      </c>
      <c r="H104" s="391" t="s">
        <v>185</v>
      </c>
      <c r="I104" s="19" t="s">
        <v>14</v>
      </c>
      <c r="J104" s="48">
        <f>K104+M104</f>
        <v>210.2</v>
      </c>
      <c r="K104" s="49">
        <f>210.2</f>
        <v>210.2</v>
      </c>
      <c r="L104" s="49">
        <v>124.6</v>
      </c>
      <c r="M104" s="60"/>
      <c r="N104" s="61">
        <f>O104+Q104</f>
        <v>260.5</v>
      </c>
      <c r="O104" s="49">
        <v>260.5</v>
      </c>
      <c r="P104" s="49">
        <v>139.4</v>
      </c>
      <c r="Q104" s="50"/>
      <c r="R104" s="114">
        <f>S104+U104</f>
        <v>0</v>
      </c>
      <c r="S104" s="115"/>
      <c r="T104" s="115"/>
      <c r="U104" s="116"/>
      <c r="V104" s="217">
        <v>280</v>
      </c>
      <c r="W104" s="218">
        <v>295</v>
      </c>
    </row>
    <row r="105" spans="1:23" ht="15" customHeight="1">
      <c r="A105" s="367"/>
      <c r="B105" s="369"/>
      <c r="C105" s="371"/>
      <c r="D105" s="394"/>
      <c r="E105" s="335"/>
      <c r="F105" s="385"/>
      <c r="G105" s="300"/>
      <c r="H105" s="381"/>
      <c r="I105" s="20" t="s">
        <v>73</v>
      </c>
      <c r="J105" s="14">
        <f>K105+M105</f>
        <v>249</v>
      </c>
      <c r="K105" s="15">
        <f>249</f>
        <v>249</v>
      </c>
      <c r="L105" s="15">
        <f>185.2</f>
        <v>185.2</v>
      </c>
      <c r="M105" s="16"/>
      <c r="N105" s="47">
        <f>O105+Q105</f>
        <v>276.8</v>
      </c>
      <c r="O105" s="15">
        <v>276.8</v>
      </c>
      <c r="P105" s="15">
        <v>209.5</v>
      </c>
      <c r="Q105" s="37"/>
      <c r="R105" s="117">
        <f>S105+U105</f>
        <v>0</v>
      </c>
      <c r="S105" s="118"/>
      <c r="T105" s="118"/>
      <c r="U105" s="119"/>
      <c r="V105" s="219">
        <v>290</v>
      </c>
      <c r="W105" s="220">
        <v>310</v>
      </c>
    </row>
    <row r="106" spans="1:23" ht="15" customHeight="1">
      <c r="A106" s="368"/>
      <c r="B106" s="370"/>
      <c r="C106" s="372"/>
      <c r="D106" s="395"/>
      <c r="E106" s="383"/>
      <c r="F106" s="386"/>
      <c r="G106" s="300"/>
      <c r="H106" s="382"/>
      <c r="I106" s="20" t="s">
        <v>164</v>
      </c>
      <c r="J106" s="14"/>
      <c r="K106" s="15"/>
      <c r="L106" s="15"/>
      <c r="M106" s="16"/>
      <c r="N106" s="47"/>
      <c r="O106" s="15"/>
      <c r="P106" s="15"/>
      <c r="Q106" s="37"/>
      <c r="R106" s="117">
        <f>S106+U106</f>
        <v>0</v>
      </c>
      <c r="S106" s="118"/>
      <c r="T106" s="118"/>
      <c r="U106" s="119"/>
      <c r="V106" s="219"/>
      <c r="W106" s="220"/>
    </row>
    <row r="107" spans="1:23" ht="15" customHeight="1">
      <c r="A107" s="368"/>
      <c r="B107" s="370"/>
      <c r="C107" s="372"/>
      <c r="D107" s="395"/>
      <c r="E107" s="383"/>
      <c r="F107" s="386"/>
      <c r="G107" s="300"/>
      <c r="H107" s="382"/>
      <c r="I107" s="20" t="s">
        <v>19</v>
      </c>
      <c r="J107" s="14">
        <f>K107+M107</f>
        <v>10.6</v>
      </c>
      <c r="K107" s="15">
        <v>10.6</v>
      </c>
      <c r="L107" s="15"/>
      <c r="M107" s="16"/>
      <c r="N107" s="47">
        <f>O107+Q107</f>
        <v>10.8</v>
      </c>
      <c r="O107" s="15">
        <v>10.8</v>
      </c>
      <c r="P107" s="15"/>
      <c r="Q107" s="37"/>
      <c r="R107" s="117">
        <f>S107+U107</f>
        <v>0</v>
      </c>
      <c r="S107" s="118"/>
      <c r="T107" s="118"/>
      <c r="U107" s="119"/>
      <c r="V107" s="219">
        <v>11</v>
      </c>
      <c r="W107" s="220">
        <v>11</v>
      </c>
    </row>
    <row r="108" spans="1:23" ht="13.5" customHeight="1">
      <c r="A108" s="368"/>
      <c r="B108" s="370"/>
      <c r="C108" s="372"/>
      <c r="D108" s="395"/>
      <c r="E108" s="383"/>
      <c r="F108" s="386"/>
      <c r="G108" s="300"/>
      <c r="H108" s="382"/>
      <c r="I108" s="20" t="s">
        <v>70</v>
      </c>
      <c r="J108" s="14">
        <f>K108+M108</f>
        <v>0</v>
      </c>
      <c r="K108" s="15"/>
      <c r="L108" s="68"/>
      <c r="M108" s="69"/>
      <c r="N108" s="47">
        <f>O108+Q108</f>
        <v>0</v>
      </c>
      <c r="O108" s="15"/>
      <c r="P108" s="68"/>
      <c r="Q108" s="70"/>
      <c r="R108" s="117">
        <f>S108+U108</f>
        <v>0</v>
      </c>
      <c r="S108" s="118"/>
      <c r="T108" s="120"/>
      <c r="U108" s="121"/>
      <c r="V108" s="221"/>
      <c r="W108" s="222"/>
    </row>
    <row r="109" spans="1:26" ht="15" customHeight="1" thickBot="1">
      <c r="A109" s="345"/>
      <c r="B109" s="347"/>
      <c r="C109" s="341"/>
      <c r="D109" s="396"/>
      <c r="E109" s="336"/>
      <c r="F109" s="387"/>
      <c r="G109" s="301"/>
      <c r="H109" s="304"/>
      <c r="I109" s="113" t="s">
        <v>15</v>
      </c>
      <c r="J109" s="108">
        <f>M109+K109</f>
        <v>469.8</v>
      </c>
      <c r="K109" s="109">
        <f>K105+K104+K107+K108</f>
        <v>469.8</v>
      </c>
      <c r="L109" s="109">
        <f>L105+L104+L107+L108</f>
        <v>309.79999999999995</v>
      </c>
      <c r="M109" s="110">
        <f>M107+M105+M104</f>
        <v>0</v>
      </c>
      <c r="N109" s="111">
        <f>Q109+O109</f>
        <v>548.0999999999999</v>
      </c>
      <c r="O109" s="109">
        <f>O105+O104+O107+O108</f>
        <v>548.0999999999999</v>
      </c>
      <c r="P109" s="109">
        <f>P105+P104+P107+P108</f>
        <v>348.9</v>
      </c>
      <c r="Q109" s="112">
        <f>Q107+Q105+Q104</f>
        <v>0</v>
      </c>
      <c r="R109" s="108">
        <f>U109+S109</f>
        <v>0</v>
      </c>
      <c r="S109" s="109">
        <f>S105+S104+S107+S108+S106</f>
        <v>0</v>
      </c>
      <c r="T109" s="109">
        <f>T105+T104+T107+T108+T106</f>
        <v>0</v>
      </c>
      <c r="U109" s="110">
        <f>U107+U105+U104</f>
        <v>0</v>
      </c>
      <c r="V109" s="223">
        <f>V105+V104+V107+V108</f>
        <v>581</v>
      </c>
      <c r="W109" s="224">
        <f>W107+W105+W104+W108</f>
        <v>616</v>
      </c>
      <c r="X109" s="58"/>
      <c r="Z109" s="10"/>
    </row>
    <row r="110" spans="1:23" ht="13.5" customHeight="1">
      <c r="A110" s="344" t="s">
        <v>11</v>
      </c>
      <c r="B110" s="346" t="s">
        <v>11</v>
      </c>
      <c r="C110" s="340" t="s">
        <v>25</v>
      </c>
      <c r="D110" s="373" t="s">
        <v>130</v>
      </c>
      <c r="E110" s="334"/>
      <c r="F110" s="384" t="s">
        <v>12</v>
      </c>
      <c r="G110" s="299" t="s">
        <v>120</v>
      </c>
      <c r="H110" s="391" t="s">
        <v>186</v>
      </c>
      <c r="I110" s="19" t="s">
        <v>14</v>
      </c>
      <c r="J110" s="48">
        <f>K110+M110</f>
        <v>337.6</v>
      </c>
      <c r="K110" s="49">
        <v>337.6</v>
      </c>
      <c r="L110" s="49">
        <v>228</v>
      </c>
      <c r="M110" s="60"/>
      <c r="N110" s="61">
        <f>O110+Q110</f>
        <v>532.9</v>
      </c>
      <c r="O110" s="49">
        <v>532.9</v>
      </c>
      <c r="P110" s="49">
        <v>285.4</v>
      </c>
      <c r="Q110" s="50"/>
      <c r="R110" s="114">
        <f aca="true" t="shared" si="0" ref="R110:R115">S110+U110</f>
        <v>0</v>
      </c>
      <c r="S110" s="115"/>
      <c r="T110" s="115"/>
      <c r="U110" s="116"/>
      <c r="V110" s="217">
        <v>540</v>
      </c>
      <c r="W110" s="218">
        <v>560</v>
      </c>
    </row>
    <row r="111" spans="1:23" ht="13.5" customHeight="1">
      <c r="A111" s="367"/>
      <c r="B111" s="369"/>
      <c r="C111" s="371"/>
      <c r="D111" s="374"/>
      <c r="E111" s="335"/>
      <c r="F111" s="385"/>
      <c r="G111" s="300"/>
      <c r="H111" s="381"/>
      <c r="I111" s="20" t="s">
        <v>73</v>
      </c>
      <c r="J111" s="14">
        <f>K111+M111</f>
        <v>223.5</v>
      </c>
      <c r="K111" s="15">
        <f>223.5</f>
        <v>223.5</v>
      </c>
      <c r="L111" s="15">
        <f>166.6</f>
        <v>166.6</v>
      </c>
      <c r="M111" s="16"/>
      <c r="N111" s="47">
        <f>O111+Q111</f>
        <v>232.6</v>
      </c>
      <c r="O111" s="15">
        <v>232.6</v>
      </c>
      <c r="P111" s="15">
        <v>175.5</v>
      </c>
      <c r="Q111" s="37"/>
      <c r="R111" s="129">
        <f t="shared" si="0"/>
        <v>0</v>
      </c>
      <c r="S111" s="130"/>
      <c r="T111" s="130"/>
      <c r="U111" s="119"/>
      <c r="V111" s="219">
        <v>240</v>
      </c>
      <c r="W111" s="220">
        <v>255</v>
      </c>
    </row>
    <row r="112" spans="1:23" ht="13.5" customHeight="1">
      <c r="A112" s="368"/>
      <c r="B112" s="370"/>
      <c r="C112" s="372"/>
      <c r="D112" s="374"/>
      <c r="E112" s="383"/>
      <c r="F112" s="386"/>
      <c r="G112" s="300"/>
      <c r="H112" s="382"/>
      <c r="I112" s="20" t="s">
        <v>164</v>
      </c>
      <c r="J112" s="14"/>
      <c r="K112" s="15"/>
      <c r="L112" s="15"/>
      <c r="M112" s="16"/>
      <c r="N112" s="47"/>
      <c r="O112" s="15"/>
      <c r="P112" s="15"/>
      <c r="Q112" s="37"/>
      <c r="R112" s="129">
        <f t="shared" si="0"/>
        <v>0</v>
      </c>
      <c r="S112" s="130"/>
      <c r="T112" s="130"/>
      <c r="U112" s="119"/>
      <c r="V112" s="219"/>
      <c r="W112" s="220"/>
    </row>
    <row r="113" spans="1:23" ht="13.5" customHeight="1">
      <c r="A113" s="368"/>
      <c r="B113" s="370"/>
      <c r="C113" s="372"/>
      <c r="D113" s="374"/>
      <c r="E113" s="383"/>
      <c r="F113" s="386"/>
      <c r="G113" s="300"/>
      <c r="H113" s="382"/>
      <c r="I113" s="20" t="s">
        <v>150</v>
      </c>
      <c r="J113" s="14">
        <f>K113+M113</f>
        <v>14</v>
      </c>
      <c r="K113" s="15">
        <v>14</v>
      </c>
      <c r="L113" s="15"/>
      <c r="M113" s="16"/>
      <c r="N113" s="47">
        <f>O113</f>
        <v>15.6</v>
      </c>
      <c r="O113" s="15">
        <v>15.6</v>
      </c>
      <c r="P113" s="15"/>
      <c r="Q113" s="37"/>
      <c r="R113" s="117">
        <f t="shared" si="0"/>
        <v>0</v>
      </c>
      <c r="S113" s="118"/>
      <c r="T113" s="118"/>
      <c r="U113" s="119"/>
      <c r="V113" s="219">
        <v>16</v>
      </c>
      <c r="W113" s="220">
        <v>16</v>
      </c>
    </row>
    <row r="114" spans="1:23" ht="13.5" customHeight="1">
      <c r="A114" s="368"/>
      <c r="B114" s="370"/>
      <c r="C114" s="372"/>
      <c r="D114" s="374"/>
      <c r="E114" s="383"/>
      <c r="F114" s="386"/>
      <c r="G114" s="300"/>
      <c r="H114" s="382"/>
      <c r="I114" s="20" t="s">
        <v>19</v>
      </c>
      <c r="J114" s="14">
        <f>K114+M114</f>
        <v>56.4</v>
      </c>
      <c r="K114" s="15">
        <f>56.4-2.2</f>
        <v>54.199999999999996</v>
      </c>
      <c r="L114" s="15"/>
      <c r="M114" s="16">
        <v>2.2</v>
      </c>
      <c r="N114" s="47">
        <f>O114+Q114</f>
        <v>59.3</v>
      </c>
      <c r="O114" s="15">
        <v>59.3</v>
      </c>
      <c r="P114" s="15"/>
      <c r="Q114" s="37"/>
      <c r="R114" s="117">
        <f t="shared" si="0"/>
        <v>0</v>
      </c>
      <c r="S114" s="118"/>
      <c r="T114" s="118"/>
      <c r="U114" s="119"/>
      <c r="V114" s="219">
        <v>60</v>
      </c>
      <c r="W114" s="220">
        <v>60</v>
      </c>
    </row>
    <row r="115" spans="1:23" ht="13.5" customHeight="1">
      <c r="A115" s="368"/>
      <c r="B115" s="370"/>
      <c r="C115" s="372"/>
      <c r="D115" s="374"/>
      <c r="E115" s="383"/>
      <c r="F115" s="386"/>
      <c r="G115" s="300"/>
      <c r="H115" s="382"/>
      <c r="I115" s="20" t="s">
        <v>70</v>
      </c>
      <c r="J115" s="14">
        <f>K115+M115</f>
        <v>0.2</v>
      </c>
      <c r="K115" s="15">
        <v>0.2</v>
      </c>
      <c r="L115" s="68"/>
      <c r="M115" s="69"/>
      <c r="N115" s="47">
        <f>O115+Q115</f>
        <v>0.2</v>
      </c>
      <c r="O115" s="15">
        <v>0.2</v>
      </c>
      <c r="P115" s="68"/>
      <c r="Q115" s="70"/>
      <c r="R115" s="117">
        <f t="shared" si="0"/>
        <v>0</v>
      </c>
      <c r="S115" s="118"/>
      <c r="T115" s="120"/>
      <c r="U115" s="121"/>
      <c r="V115" s="221">
        <v>0.3</v>
      </c>
      <c r="W115" s="222">
        <v>0.3</v>
      </c>
    </row>
    <row r="116" spans="1:26" ht="13.5" customHeight="1" thickBot="1">
      <c r="A116" s="345"/>
      <c r="B116" s="347"/>
      <c r="C116" s="341"/>
      <c r="D116" s="375"/>
      <c r="E116" s="336"/>
      <c r="F116" s="387"/>
      <c r="G116" s="301"/>
      <c r="H116" s="304"/>
      <c r="I116" s="113" t="s">
        <v>15</v>
      </c>
      <c r="J116" s="108">
        <f>M116+K116</f>
        <v>631.7000000000002</v>
      </c>
      <c r="K116" s="109">
        <f>K111+K110+K114+K115+K113</f>
        <v>629.5000000000001</v>
      </c>
      <c r="L116" s="109">
        <f>L111+L110+L114+L115+L113</f>
        <v>394.6</v>
      </c>
      <c r="M116" s="109">
        <f>M111+M110+M114+M115+M113</f>
        <v>2.2</v>
      </c>
      <c r="N116" s="111">
        <f>Q116+O116</f>
        <v>840.6</v>
      </c>
      <c r="O116" s="109">
        <f>O111+O110+O114+O115+O113</f>
        <v>840.6</v>
      </c>
      <c r="P116" s="109">
        <f>P111+P110+P114+P115+P113</f>
        <v>460.9</v>
      </c>
      <c r="Q116" s="109">
        <f>Q111+Q110+Q114+Q115+Q113</f>
        <v>0</v>
      </c>
      <c r="R116" s="108">
        <f>U116+S116</f>
        <v>0</v>
      </c>
      <c r="S116" s="109">
        <f>S111+S110+S114+S115+S113+S112</f>
        <v>0</v>
      </c>
      <c r="T116" s="109">
        <f>T111+T110+T114+T115+T113+T112</f>
        <v>0</v>
      </c>
      <c r="U116" s="109">
        <f>U111+U110+U114+U115+U113+U112</f>
        <v>0</v>
      </c>
      <c r="V116" s="223">
        <f>V111+V110+V114+V115+V113</f>
        <v>856.3</v>
      </c>
      <c r="W116" s="224">
        <f>W111+W110+W114+W115+W113</f>
        <v>891.3</v>
      </c>
      <c r="X116" s="58"/>
      <c r="Z116" s="10"/>
    </row>
    <row r="117" spans="1:23" ht="13.5" customHeight="1">
      <c r="A117" s="344" t="s">
        <v>11</v>
      </c>
      <c r="B117" s="346" t="s">
        <v>11</v>
      </c>
      <c r="C117" s="340" t="s">
        <v>53</v>
      </c>
      <c r="D117" s="373" t="s">
        <v>67</v>
      </c>
      <c r="E117" s="334"/>
      <c r="F117" s="384" t="s">
        <v>12</v>
      </c>
      <c r="G117" s="299" t="s">
        <v>119</v>
      </c>
      <c r="H117" s="391" t="s">
        <v>110</v>
      </c>
      <c r="I117" s="19" t="s">
        <v>14</v>
      </c>
      <c r="J117" s="48">
        <f>K117+M117</f>
        <v>258.1</v>
      </c>
      <c r="K117" s="49">
        <v>258.1</v>
      </c>
      <c r="L117" s="49">
        <v>171.5</v>
      </c>
      <c r="M117" s="60"/>
      <c r="N117" s="61">
        <f>O117+Q117</f>
        <v>301.9</v>
      </c>
      <c r="O117" s="49">
        <v>301.9</v>
      </c>
      <c r="P117" s="49">
        <v>192.6</v>
      </c>
      <c r="Q117" s="50"/>
      <c r="R117" s="114">
        <f>S117+U117</f>
        <v>0</v>
      </c>
      <c r="S117" s="115"/>
      <c r="T117" s="115"/>
      <c r="U117" s="116"/>
      <c r="V117" s="217">
        <v>310</v>
      </c>
      <c r="W117" s="218">
        <v>320</v>
      </c>
    </row>
    <row r="118" spans="1:23" ht="13.5" customHeight="1">
      <c r="A118" s="367"/>
      <c r="B118" s="369"/>
      <c r="C118" s="371"/>
      <c r="D118" s="374"/>
      <c r="E118" s="335"/>
      <c r="F118" s="385"/>
      <c r="G118" s="300"/>
      <c r="H118" s="381"/>
      <c r="I118" s="20" t="s">
        <v>73</v>
      </c>
      <c r="J118" s="14">
        <f>K118+M118</f>
        <v>196.9</v>
      </c>
      <c r="K118" s="15">
        <f>196.9</f>
        <v>196.9</v>
      </c>
      <c r="L118" s="15">
        <f>146.7</f>
        <v>146.7</v>
      </c>
      <c r="M118" s="16"/>
      <c r="N118" s="47">
        <f>O118+Q118</f>
        <v>184</v>
      </c>
      <c r="O118" s="15">
        <v>184</v>
      </c>
      <c r="P118" s="15">
        <f>33.3+104.1</f>
        <v>137.39999999999998</v>
      </c>
      <c r="Q118" s="37"/>
      <c r="R118" s="129">
        <f>S118+U118</f>
        <v>0</v>
      </c>
      <c r="S118" s="130"/>
      <c r="T118" s="130"/>
      <c r="U118" s="119"/>
      <c r="V118" s="219">
        <v>200</v>
      </c>
      <c r="W118" s="220">
        <v>201</v>
      </c>
    </row>
    <row r="119" spans="1:23" ht="13.5" customHeight="1">
      <c r="A119" s="368"/>
      <c r="B119" s="370"/>
      <c r="C119" s="372"/>
      <c r="D119" s="374"/>
      <c r="E119" s="383"/>
      <c r="F119" s="386"/>
      <c r="G119" s="300"/>
      <c r="H119" s="382"/>
      <c r="I119" s="20" t="s">
        <v>164</v>
      </c>
      <c r="J119" s="14"/>
      <c r="K119" s="15"/>
      <c r="L119" s="15"/>
      <c r="M119" s="16"/>
      <c r="N119" s="47"/>
      <c r="O119" s="15"/>
      <c r="P119" s="15"/>
      <c r="Q119" s="37"/>
      <c r="R119" s="129">
        <f>S119+U119</f>
        <v>0</v>
      </c>
      <c r="S119" s="130"/>
      <c r="T119" s="130"/>
      <c r="U119" s="119"/>
      <c r="V119" s="219"/>
      <c r="W119" s="220"/>
    </row>
    <row r="120" spans="1:23" ht="13.5" customHeight="1">
      <c r="A120" s="368"/>
      <c r="B120" s="370"/>
      <c r="C120" s="372"/>
      <c r="D120" s="374"/>
      <c r="E120" s="383"/>
      <c r="F120" s="386"/>
      <c r="G120" s="300"/>
      <c r="H120" s="382"/>
      <c r="I120" s="20" t="s">
        <v>19</v>
      </c>
      <c r="J120" s="14">
        <f>K120+M120</f>
        <v>33.4</v>
      </c>
      <c r="K120" s="15">
        <f>33.4-3.4</f>
        <v>30</v>
      </c>
      <c r="L120" s="15"/>
      <c r="M120" s="16">
        <v>3.4</v>
      </c>
      <c r="N120" s="47">
        <f>O120+Q120</f>
        <v>37.2</v>
      </c>
      <c r="O120" s="15">
        <v>37.2</v>
      </c>
      <c r="P120" s="15"/>
      <c r="Q120" s="37"/>
      <c r="R120" s="117">
        <f>S120+U120</f>
        <v>0</v>
      </c>
      <c r="S120" s="118"/>
      <c r="T120" s="118"/>
      <c r="U120" s="119"/>
      <c r="V120" s="219">
        <v>35</v>
      </c>
      <c r="W120" s="220">
        <v>35</v>
      </c>
    </row>
    <row r="121" spans="1:23" ht="12" customHeight="1">
      <c r="A121" s="368"/>
      <c r="B121" s="370"/>
      <c r="C121" s="372"/>
      <c r="D121" s="374"/>
      <c r="E121" s="383"/>
      <c r="F121" s="386"/>
      <c r="G121" s="300"/>
      <c r="H121" s="382"/>
      <c r="I121" s="198" t="s">
        <v>70</v>
      </c>
      <c r="J121" s="14">
        <f>K121+M121</f>
        <v>0.2</v>
      </c>
      <c r="K121" s="15">
        <v>0.2</v>
      </c>
      <c r="L121" s="68"/>
      <c r="M121" s="69"/>
      <c r="N121" s="47">
        <f>O121+Q121</f>
        <v>0.1</v>
      </c>
      <c r="O121" s="15">
        <v>0.1</v>
      </c>
      <c r="P121" s="68"/>
      <c r="Q121" s="70"/>
      <c r="R121" s="117">
        <f>S121+U121</f>
        <v>0</v>
      </c>
      <c r="S121" s="118"/>
      <c r="T121" s="120"/>
      <c r="U121" s="121"/>
      <c r="V121" s="221">
        <v>0.2</v>
      </c>
      <c r="W121" s="222">
        <v>0.2</v>
      </c>
    </row>
    <row r="122" spans="1:26" ht="14.25" customHeight="1" thickBot="1">
      <c r="A122" s="345"/>
      <c r="B122" s="347"/>
      <c r="C122" s="341"/>
      <c r="D122" s="375"/>
      <c r="E122" s="336"/>
      <c r="F122" s="387"/>
      <c r="G122" s="301"/>
      <c r="H122" s="304"/>
      <c r="I122" s="113" t="s">
        <v>15</v>
      </c>
      <c r="J122" s="108">
        <f>M122+K122</f>
        <v>488.59999999999997</v>
      </c>
      <c r="K122" s="109">
        <f>K118+K117+K120+K121</f>
        <v>485.2</v>
      </c>
      <c r="L122" s="109">
        <f>L118+L117+L120+L121</f>
        <v>318.2</v>
      </c>
      <c r="M122" s="110">
        <f>M120+M118+M117</f>
        <v>3.4</v>
      </c>
      <c r="N122" s="111">
        <f>Q122+O122</f>
        <v>523.2</v>
      </c>
      <c r="O122" s="109">
        <f>O118+O117+O120+O121</f>
        <v>523.2</v>
      </c>
      <c r="P122" s="109">
        <f>P118+P117+P120+P121</f>
        <v>330</v>
      </c>
      <c r="Q122" s="112">
        <f>Q120+Q118+Q117</f>
        <v>0</v>
      </c>
      <c r="R122" s="108">
        <f>U122+S122</f>
        <v>0</v>
      </c>
      <c r="S122" s="109">
        <f>S118+S117+S120+S121+S119</f>
        <v>0</v>
      </c>
      <c r="T122" s="109">
        <f>T118+T117+T120+T121+T119</f>
        <v>0</v>
      </c>
      <c r="U122" s="109">
        <f>U118+U117+U120+U121+U119</f>
        <v>0</v>
      </c>
      <c r="V122" s="223">
        <f>V118+V117+V120+V121</f>
        <v>545.2</v>
      </c>
      <c r="W122" s="224">
        <f>W120+W118+W117+W121</f>
        <v>556.2</v>
      </c>
      <c r="X122" s="58"/>
      <c r="Z122" s="10"/>
    </row>
    <row r="123" spans="1:23" ht="13.5" customHeight="1">
      <c r="A123" s="344" t="s">
        <v>11</v>
      </c>
      <c r="B123" s="346" t="s">
        <v>11</v>
      </c>
      <c r="C123" s="340" t="s">
        <v>28</v>
      </c>
      <c r="D123" s="373" t="s">
        <v>124</v>
      </c>
      <c r="E123" s="334"/>
      <c r="F123" s="384" t="s">
        <v>12</v>
      </c>
      <c r="G123" s="299" t="s">
        <v>121</v>
      </c>
      <c r="H123" s="391" t="s">
        <v>111</v>
      </c>
      <c r="I123" s="19" t="s">
        <v>14</v>
      </c>
      <c r="J123" s="48">
        <f>K123+M123</f>
        <v>345.5</v>
      </c>
      <c r="K123" s="49">
        <v>345.5</v>
      </c>
      <c r="L123" s="49">
        <v>231</v>
      </c>
      <c r="M123" s="60"/>
      <c r="N123" s="61">
        <f>O123+Q123</f>
        <v>436.3</v>
      </c>
      <c r="O123" s="49">
        <v>436.3</v>
      </c>
      <c r="P123" s="49">
        <v>281.9</v>
      </c>
      <c r="Q123" s="50"/>
      <c r="R123" s="114">
        <f>S123+U123</f>
        <v>0</v>
      </c>
      <c r="S123" s="115"/>
      <c r="T123" s="115"/>
      <c r="U123" s="116"/>
      <c r="V123" s="217">
        <v>440</v>
      </c>
      <c r="W123" s="218">
        <v>460</v>
      </c>
    </row>
    <row r="124" spans="1:23" ht="13.5" customHeight="1">
      <c r="A124" s="367"/>
      <c r="B124" s="369"/>
      <c r="C124" s="371"/>
      <c r="D124" s="374"/>
      <c r="E124" s="335"/>
      <c r="F124" s="385"/>
      <c r="G124" s="300"/>
      <c r="H124" s="381"/>
      <c r="I124" s="20" t="s">
        <v>73</v>
      </c>
      <c r="J124" s="14">
        <f>K124+M124</f>
        <v>198.9</v>
      </c>
      <c r="K124" s="15">
        <f>198.9</f>
        <v>198.9</v>
      </c>
      <c r="L124" s="15">
        <f>148</f>
        <v>148</v>
      </c>
      <c r="M124" s="16"/>
      <c r="N124" s="47">
        <f>O124+Q124</f>
        <v>199.3</v>
      </c>
      <c r="O124" s="15">
        <v>199.3</v>
      </c>
      <c r="P124" s="15">
        <v>149.9</v>
      </c>
      <c r="Q124" s="37"/>
      <c r="R124" s="129">
        <f>S124+U124</f>
        <v>0</v>
      </c>
      <c r="S124" s="130"/>
      <c r="T124" s="130"/>
      <c r="U124" s="119"/>
      <c r="V124" s="219">
        <v>210</v>
      </c>
      <c r="W124" s="220">
        <v>230</v>
      </c>
    </row>
    <row r="125" spans="1:23" ht="13.5" customHeight="1">
      <c r="A125" s="368"/>
      <c r="B125" s="370"/>
      <c r="C125" s="372"/>
      <c r="D125" s="374"/>
      <c r="E125" s="383"/>
      <c r="F125" s="386"/>
      <c r="G125" s="300"/>
      <c r="H125" s="382"/>
      <c r="I125" s="20" t="s">
        <v>164</v>
      </c>
      <c r="J125" s="14"/>
      <c r="K125" s="15"/>
      <c r="L125" s="15"/>
      <c r="M125" s="16"/>
      <c r="N125" s="47"/>
      <c r="O125" s="15"/>
      <c r="P125" s="15"/>
      <c r="Q125" s="37"/>
      <c r="R125" s="129">
        <f>S125+U125</f>
        <v>0</v>
      </c>
      <c r="S125" s="130"/>
      <c r="T125" s="130"/>
      <c r="U125" s="119"/>
      <c r="V125" s="219"/>
      <c r="W125" s="220"/>
    </row>
    <row r="126" spans="1:23" ht="13.5" customHeight="1">
      <c r="A126" s="368"/>
      <c r="B126" s="370"/>
      <c r="C126" s="372"/>
      <c r="D126" s="374"/>
      <c r="E126" s="383"/>
      <c r="F126" s="386"/>
      <c r="G126" s="300"/>
      <c r="H126" s="382"/>
      <c r="I126" s="20" t="s">
        <v>19</v>
      </c>
      <c r="J126" s="14">
        <f>K126+M126</f>
        <v>63.1</v>
      </c>
      <c r="K126" s="15">
        <v>63.1</v>
      </c>
      <c r="L126" s="15"/>
      <c r="M126" s="16"/>
      <c r="N126" s="47">
        <f>O126+Q126</f>
        <v>65.6</v>
      </c>
      <c r="O126" s="15">
        <v>65.6</v>
      </c>
      <c r="P126" s="15"/>
      <c r="Q126" s="37"/>
      <c r="R126" s="117">
        <f>S126+U126</f>
        <v>0</v>
      </c>
      <c r="S126" s="118"/>
      <c r="T126" s="118"/>
      <c r="U126" s="119"/>
      <c r="V126" s="219">
        <v>70</v>
      </c>
      <c r="W126" s="220">
        <v>70</v>
      </c>
    </row>
    <row r="127" spans="1:23" ht="13.5" customHeight="1">
      <c r="A127" s="368"/>
      <c r="B127" s="370"/>
      <c r="C127" s="372"/>
      <c r="D127" s="374"/>
      <c r="E127" s="383"/>
      <c r="F127" s="386"/>
      <c r="G127" s="300"/>
      <c r="H127" s="382"/>
      <c r="I127" s="20" t="s">
        <v>70</v>
      </c>
      <c r="J127" s="14">
        <f>K127+M127</f>
        <v>0.3</v>
      </c>
      <c r="K127" s="15">
        <v>0.3</v>
      </c>
      <c r="L127" s="68"/>
      <c r="M127" s="69"/>
      <c r="N127" s="47">
        <f>O127+Q127</f>
        <v>0.3</v>
      </c>
      <c r="O127" s="15">
        <v>0.3</v>
      </c>
      <c r="P127" s="68"/>
      <c r="Q127" s="70"/>
      <c r="R127" s="117">
        <f>S127+U127</f>
        <v>0</v>
      </c>
      <c r="S127" s="118"/>
      <c r="T127" s="120"/>
      <c r="U127" s="121"/>
      <c r="V127" s="221">
        <v>0.2</v>
      </c>
      <c r="W127" s="222">
        <v>0.2</v>
      </c>
    </row>
    <row r="128" spans="1:26" ht="14.25" customHeight="1" thickBot="1">
      <c r="A128" s="345"/>
      <c r="B128" s="347"/>
      <c r="C128" s="341"/>
      <c r="D128" s="375"/>
      <c r="E128" s="336"/>
      <c r="F128" s="387"/>
      <c r="G128" s="301"/>
      <c r="H128" s="304"/>
      <c r="I128" s="113" t="s">
        <v>15</v>
      </c>
      <c r="J128" s="108">
        <f>M128+K128</f>
        <v>607.8</v>
      </c>
      <c r="K128" s="109">
        <f>K124+K123+K126+K127</f>
        <v>607.8</v>
      </c>
      <c r="L128" s="109">
        <f>L124+L123+L126+L127</f>
        <v>379</v>
      </c>
      <c r="M128" s="110">
        <f>M126+M124+M123</f>
        <v>0</v>
      </c>
      <c r="N128" s="111">
        <f>Q128+O128</f>
        <v>701.5</v>
      </c>
      <c r="O128" s="109">
        <f>O124+O123+O126+O127</f>
        <v>701.5</v>
      </c>
      <c r="P128" s="109">
        <f>P124+P123+P126+P127</f>
        <v>431.79999999999995</v>
      </c>
      <c r="Q128" s="112">
        <f>Q126+Q124+Q123</f>
        <v>0</v>
      </c>
      <c r="R128" s="108">
        <f>U128+S128</f>
        <v>0</v>
      </c>
      <c r="S128" s="109">
        <f>S124+S123+S126+S127+S125</f>
        <v>0</v>
      </c>
      <c r="T128" s="109">
        <f>T124+T123+T126+T127+T125</f>
        <v>0</v>
      </c>
      <c r="U128" s="109">
        <f>U124+U123+U126+U127+U125</f>
        <v>0</v>
      </c>
      <c r="V128" s="223">
        <f>V124+V123+V126+V127</f>
        <v>720.2</v>
      </c>
      <c r="W128" s="224">
        <f>W126+W124+W123+W127</f>
        <v>760.2</v>
      </c>
      <c r="X128" s="58"/>
      <c r="Z128" s="10"/>
    </row>
    <row r="129" spans="1:23" ht="13.5" customHeight="1">
      <c r="A129" s="344" t="s">
        <v>11</v>
      </c>
      <c r="B129" s="346" t="s">
        <v>11</v>
      </c>
      <c r="C129" s="340" t="s">
        <v>54</v>
      </c>
      <c r="D129" s="373" t="s">
        <v>68</v>
      </c>
      <c r="E129" s="334"/>
      <c r="F129" s="384" t="s">
        <v>12</v>
      </c>
      <c r="G129" s="299" t="s">
        <v>122</v>
      </c>
      <c r="H129" s="302" t="s">
        <v>112</v>
      </c>
      <c r="I129" s="19" t="s">
        <v>14</v>
      </c>
      <c r="J129" s="48">
        <f>K129+M129</f>
        <v>296</v>
      </c>
      <c r="K129" s="49">
        <f>296</f>
        <v>296</v>
      </c>
      <c r="L129" s="49">
        <f>217</f>
        <v>217</v>
      </c>
      <c r="M129" s="60"/>
      <c r="N129" s="61">
        <f>O129+Q129</f>
        <v>344</v>
      </c>
      <c r="O129" s="49">
        <v>344</v>
      </c>
      <c r="P129" s="49">
        <v>241.2</v>
      </c>
      <c r="Q129" s="50"/>
      <c r="R129" s="197">
        <f>S129+U129</f>
        <v>0</v>
      </c>
      <c r="S129" s="115"/>
      <c r="T129" s="115"/>
      <c r="U129" s="116"/>
      <c r="V129" s="217">
        <v>350</v>
      </c>
      <c r="W129" s="218">
        <v>365</v>
      </c>
    </row>
    <row r="130" spans="1:23" ht="13.5" customHeight="1">
      <c r="A130" s="367"/>
      <c r="B130" s="369"/>
      <c r="C130" s="371"/>
      <c r="D130" s="374"/>
      <c r="E130" s="335"/>
      <c r="F130" s="385"/>
      <c r="G130" s="300"/>
      <c r="H130" s="381"/>
      <c r="I130" s="20" t="s">
        <v>73</v>
      </c>
      <c r="J130" s="14">
        <f>K130+M130</f>
        <v>7.300000000000001</v>
      </c>
      <c r="K130" s="15">
        <v>0.9</v>
      </c>
      <c r="L130" s="15"/>
      <c r="M130" s="16">
        <v>6.4</v>
      </c>
      <c r="N130" s="47">
        <f>O130+Q130</f>
        <v>0</v>
      </c>
      <c r="O130" s="15"/>
      <c r="P130" s="15"/>
      <c r="Q130" s="37"/>
      <c r="R130" s="117">
        <f>S130+U130</f>
        <v>0</v>
      </c>
      <c r="S130" s="118"/>
      <c r="T130" s="118"/>
      <c r="U130" s="119"/>
      <c r="V130" s="219"/>
      <c r="W130" s="220"/>
    </row>
    <row r="131" spans="1:23" ht="12" customHeight="1">
      <c r="A131" s="368"/>
      <c r="B131" s="370"/>
      <c r="C131" s="372"/>
      <c r="D131" s="374"/>
      <c r="E131" s="383"/>
      <c r="F131" s="386"/>
      <c r="G131" s="300"/>
      <c r="H131" s="382"/>
      <c r="I131" s="20" t="s">
        <v>164</v>
      </c>
      <c r="J131" s="14"/>
      <c r="K131" s="15"/>
      <c r="L131" s="15"/>
      <c r="M131" s="16"/>
      <c r="N131" s="47"/>
      <c r="O131" s="15"/>
      <c r="P131" s="15"/>
      <c r="Q131" s="37"/>
      <c r="R131" s="129">
        <f>S131+U131</f>
        <v>0</v>
      </c>
      <c r="S131" s="118"/>
      <c r="T131" s="118"/>
      <c r="U131" s="119"/>
      <c r="V131" s="219"/>
      <c r="W131" s="220"/>
    </row>
    <row r="132" spans="1:23" ht="13.5" customHeight="1">
      <c r="A132" s="368"/>
      <c r="B132" s="370"/>
      <c r="C132" s="372"/>
      <c r="D132" s="374"/>
      <c r="E132" s="383"/>
      <c r="F132" s="386"/>
      <c r="G132" s="300"/>
      <c r="H132" s="382"/>
      <c r="I132" s="20" t="s">
        <v>19</v>
      </c>
      <c r="J132" s="14">
        <f>K132+M132</f>
        <v>31.8</v>
      </c>
      <c r="K132" s="15">
        <f>31.8-1.6</f>
        <v>30.2</v>
      </c>
      <c r="L132" s="15">
        <v>12.5</v>
      </c>
      <c r="M132" s="16">
        <v>1.6</v>
      </c>
      <c r="N132" s="47">
        <f>O132+Q132</f>
        <v>36.5</v>
      </c>
      <c r="O132" s="15">
        <v>36.5</v>
      </c>
      <c r="P132" s="15">
        <v>14</v>
      </c>
      <c r="Q132" s="37"/>
      <c r="R132" s="117">
        <f>S132+U132</f>
        <v>0</v>
      </c>
      <c r="S132" s="118"/>
      <c r="T132" s="118"/>
      <c r="U132" s="119"/>
      <c r="V132" s="219">
        <v>33</v>
      </c>
      <c r="W132" s="220">
        <v>33</v>
      </c>
    </row>
    <row r="133" spans="1:23" ht="13.5" customHeight="1">
      <c r="A133" s="368"/>
      <c r="B133" s="370"/>
      <c r="C133" s="372"/>
      <c r="D133" s="374"/>
      <c r="E133" s="383"/>
      <c r="F133" s="386"/>
      <c r="G133" s="300"/>
      <c r="H133" s="382"/>
      <c r="I133" s="20" t="s">
        <v>70</v>
      </c>
      <c r="J133" s="14">
        <f>K133+M133</f>
        <v>0</v>
      </c>
      <c r="K133" s="15"/>
      <c r="L133" s="68"/>
      <c r="M133" s="69"/>
      <c r="N133" s="47">
        <f>O133+Q133</f>
        <v>0</v>
      </c>
      <c r="O133" s="15"/>
      <c r="P133" s="68"/>
      <c r="Q133" s="70"/>
      <c r="R133" s="117">
        <f>S133+U133</f>
        <v>0</v>
      </c>
      <c r="S133" s="118"/>
      <c r="T133" s="120"/>
      <c r="U133" s="121"/>
      <c r="V133" s="221"/>
      <c r="W133" s="222"/>
    </row>
    <row r="134" spans="1:26" ht="14.25" customHeight="1" thickBot="1">
      <c r="A134" s="345"/>
      <c r="B134" s="347"/>
      <c r="C134" s="341"/>
      <c r="D134" s="375"/>
      <c r="E134" s="336"/>
      <c r="F134" s="387"/>
      <c r="G134" s="301"/>
      <c r="H134" s="304"/>
      <c r="I134" s="122" t="s">
        <v>15</v>
      </c>
      <c r="J134" s="108">
        <f>M134+K134</f>
        <v>335.09999999999997</v>
      </c>
      <c r="K134" s="109">
        <f>K130+K129+K132+K133</f>
        <v>327.09999999999997</v>
      </c>
      <c r="L134" s="109">
        <f>L130+L129+L132+L133</f>
        <v>229.5</v>
      </c>
      <c r="M134" s="110">
        <f>M132+M130+M129</f>
        <v>8</v>
      </c>
      <c r="N134" s="111">
        <f>Q134+O134</f>
        <v>380.5</v>
      </c>
      <c r="O134" s="109">
        <f>O130+O129+O132+O133</f>
        <v>380.5</v>
      </c>
      <c r="P134" s="109">
        <f>P130+P129+P132+P133</f>
        <v>255.2</v>
      </c>
      <c r="Q134" s="112">
        <f>Q132+Q130+Q129</f>
        <v>0</v>
      </c>
      <c r="R134" s="108">
        <f>U134+S134</f>
        <v>0</v>
      </c>
      <c r="S134" s="109">
        <f>S130+S129+S132+S133+S131</f>
        <v>0</v>
      </c>
      <c r="T134" s="109">
        <f>T130+T129+T132+T133+T131</f>
        <v>0</v>
      </c>
      <c r="U134" s="110">
        <f>U132+U130+U129</f>
        <v>0</v>
      </c>
      <c r="V134" s="223">
        <f>V130+V129+V132+V133</f>
        <v>383</v>
      </c>
      <c r="W134" s="224">
        <f>W132+W130+W129+W133</f>
        <v>398</v>
      </c>
      <c r="X134" s="58"/>
      <c r="Z134" s="10"/>
    </row>
    <row r="135" spans="1:23" ht="12.75" customHeight="1">
      <c r="A135" s="344" t="s">
        <v>11</v>
      </c>
      <c r="B135" s="346" t="s">
        <v>24</v>
      </c>
      <c r="C135" s="340" t="s">
        <v>55</v>
      </c>
      <c r="D135" s="342" t="s">
        <v>172</v>
      </c>
      <c r="E135" s="334"/>
      <c r="F135" s="384" t="s">
        <v>12</v>
      </c>
      <c r="G135" s="299" t="s">
        <v>81</v>
      </c>
      <c r="H135" s="302" t="s">
        <v>187</v>
      </c>
      <c r="I135" s="19" t="s">
        <v>73</v>
      </c>
      <c r="J135" s="194">
        <f>K135+M135</f>
        <v>0</v>
      </c>
      <c r="K135" s="49"/>
      <c r="L135" s="49"/>
      <c r="M135" s="60"/>
      <c r="N135" s="196">
        <f>O135+Q135</f>
        <v>208.7</v>
      </c>
      <c r="O135" s="12">
        <v>208.7</v>
      </c>
      <c r="P135" s="12">
        <v>160</v>
      </c>
      <c r="Q135" s="212"/>
      <c r="R135" s="197">
        <f>S135+U135</f>
        <v>0</v>
      </c>
      <c r="S135" s="115"/>
      <c r="T135" s="115"/>
      <c r="U135" s="116"/>
      <c r="V135" s="225">
        <v>270</v>
      </c>
      <c r="W135" s="225">
        <v>270</v>
      </c>
    </row>
    <row r="136" spans="1:23" ht="12.75" customHeight="1">
      <c r="A136" s="380"/>
      <c r="B136" s="365"/>
      <c r="C136" s="379"/>
      <c r="D136" s="348"/>
      <c r="E136" s="349"/>
      <c r="F136" s="392"/>
      <c r="G136" s="300"/>
      <c r="H136" s="303"/>
      <c r="I136" s="20" t="s">
        <v>164</v>
      </c>
      <c r="J136" s="14">
        <f>K136+M136</f>
        <v>288.79999999999995</v>
      </c>
      <c r="K136" s="15">
        <f>66+10.2+16.9+195.7</f>
        <v>288.79999999999995</v>
      </c>
      <c r="L136" s="15">
        <v>149.4</v>
      </c>
      <c r="M136" s="37"/>
      <c r="N136" s="213">
        <f>O136+Q136</f>
        <v>0</v>
      </c>
      <c r="O136" s="214"/>
      <c r="P136" s="214"/>
      <c r="Q136" s="215"/>
      <c r="R136" s="117">
        <f>S136+U136</f>
        <v>0</v>
      </c>
      <c r="S136" s="118"/>
      <c r="T136" s="118"/>
      <c r="U136" s="119"/>
      <c r="V136" s="226"/>
      <c r="W136" s="226"/>
    </row>
    <row r="137" spans="1:23" ht="12.75" customHeight="1">
      <c r="A137" s="380"/>
      <c r="B137" s="365"/>
      <c r="C137" s="379"/>
      <c r="D137" s="348"/>
      <c r="E137" s="349"/>
      <c r="F137" s="392"/>
      <c r="G137" s="300"/>
      <c r="H137" s="303"/>
      <c r="I137" s="188" t="s">
        <v>26</v>
      </c>
      <c r="J137" s="195">
        <f>K137+M137</f>
        <v>26</v>
      </c>
      <c r="K137" s="192">
        <v>26</v>
      </c>
      <c r="L137" s="192"/>
      <c r="M137" s="193"/>
      <c r="N137" s="44">
        <f>O137+Q137</f>
        <v>96.2</v>
      </c>
      <c r="O137" s="189">
        <v>96.2</v>
      </c>
      <c r="P137" s="189"/>
      <c r="Q137" s="216"/>
      <c r="R137" s="129">
        <f>S137+U137</f>
        <v>0</v>
      </c>
      <c r="S137" s="190"/>
      <c r="T137" s="190"/>
      <c r="U137" s="191"/>
      <c r="V137" s="227"/>
      <c r="W137" s="227"/>
    </row>
    <row r="138" spans="1:26" ht="12.75" customHeight="1" thickBot="1">
      <c r="A138" s="345"/>
      <c r="B138" s="347"/>
      <c r="C138" s="341"/>
      <c r="D138" s="343"/>
      <c r="E138" s="336"/>
      <c r="F138" s="387"/>
      <c r="G138" s="301"/>
      <c r="H138" s="304"/>
      <c r="I138" s="107" t="s">
        <v>15</v>
      </c>
      <c r="J138" s="111">
        <f>K138+M138</f>
        <v>314.79999999999995</v>
      </c>
      <c r="K138" s="109">
        <f>SUM(K135:K137)</f>
        <v>314.79999999999995</v>
      </c>
      <c r="L138" s="109">
        <f>SUM(L135:L137)</f>
        <v>149.4</v>
      </c>
      <c r="M138" s="109">
        <f>SUM(M135:M137)</f>
        <v>0</v>
      </c>
      <c r="N138" s="108">
        <f>O138+Q138</f>
        <v>304.9</v>
      </c>
      <c r="O138" s="109">
        <f>SUM(O135:O137)</f>
        <v>304.9</v>
      </c>
      <c r="P138" s="109">
        <f>SUM(P135:P137)</f>
        <v>160</v>
      </c>
      <c r="Q138" s="112">
        <f>SUM(Q135:Q137)</f>
        <v>0</v>
      </c>
      <c r="R138" s="108">
        <f>S138+U138</f>
        <v>0</v>
      </c>
      <c r="S138" s="109">
        <f>SUM(S135:S137)</f>
        <v>0</v>
      </c>
      <c r="T138" s="109">
        <f>SUM(T135:T137)</f>
        <v>0</v>
      </c>
      <c r="U138" s="110">
        <f>SUM(U135:U137)</f>
        <v>0</v>
      </c>
      <c r="V138" s="224">
        <f>V135+V136+V137</f>
        <v>270</v>
      </c>
      <c r="W138" s="224">
        <f>W135+W136+W137</f>
        <v>270</v>
      </c>
      <c r="X138" s="9"/>
      <c r="Z138" s="10"/>
    </row>
    <row r="139" spans="1:23" ht="15" customHeight="1" thickBot="1">
      <c r="A139" s="42" t="s">
        <v>11</v>
      </c>
      <c r="B139" s="43" t="s">
        <v>11</v>
      </c>
      <c r="C139" s="337" t="s">
        <v>23</v>
      </c>
      <c r="D139" s="338"/>
      <c r="E139" s="338"/>
      <c r="F139" s="338"/>
      <c r="G139" s="338"/>
      <c r="H139" s="338"/>
      <c r="I139" s="339"/>
      <c r="J139" s="51">
        <f>K139+M139</f>
        <v>10245.800000000001</v>
      </c>
      <c r="K139" s="52">
        <f>K21+K27+K33+K39+K45+K50+K55+K61+K67+K73+K79+K85+K91+K97+K103+K109+K116+K122+K128+K134+K138</f>
        <v>10193.1</v>
      </c>
      <c r="L139" s="52">
        <f>L21+L27+L33+L39+L45+L50+L55+L61+L67+L73+L79+L85+L91+L97+L103+L109+L116+L122+L128+L134+L138</f>
        <v>6650.499999999999</v>
      </c>
      <c r="M139" s="52">
        <f>M21+M27+M33+M39+M45+M50+M55+M61+M67+M73+M79+M85+M91+M97+M103+M109+M116+M122+M128+M134+M138</f>
        <v>52.699999999999996</v>
      </c>
      <c r="N139" s="51">
        <f>O139+Q139</f>
        <v>11672.600000000002</v>
      </c>
      <c r="O139" s="52">
        <f>O21+O27+O33+O39+O45+O50+O55+O61+O67+O73+O79+O85+O91+O97+O103+O109+O116+O122+O128+O134+O138</f>
        <v>11651.100000000002</v>
      </c>
      <c r="P139" s="52">
        <f>P21+P27+P33+P39+P45+P50+P55+P61+P67+P73+P79+P85+P91+P97+P103+P109+P116+P122+P128+P134+P138</f>
        <v>7029.400000000001</v>
      </c>
      <c r="Q139" s="52">
        <f>Q21+Q27+Q33+Q39+Q45+Q50+Q55+Q61+Q67+Q73+Q79+Q85+Q91+Q97+Q103+Q109+Q116+Q122+Q128+Q134+Q138</f>
        <v>21.5</v>
      </c>
      <c r="R139" s="51">
        <f>S139+U139</f>
        <v>0</v>
      </c>
      <c r="S139" s="52">
        <f>S21+S27+S33+S39+S45+S50+S55+S61+S67+S73+S79+S85+S91+S97+S103+S109+S116+S122+S128+S134+S138</f>
        <v>0</v>
      </c>
      <c r="T139" s="52">
        <f>T21+T27+T33+T39+T45+T50+T55+T61+T67+T73+T79+T85+T91+T97+T103+T109+T116+T122+T128+T134+T138</f>
        <v>0</v>
      </c>
      <c r="U139" s="52">
        <f>U21+U27+U33+U39+U45+U50+U55+U61+U67+U73+U79+U85+U91+U97+U103+U109+U116+U122+U128+U134+U138</f>
        <v>0</v>
      </c>
      <c r="V139" s="52">
        <f>V21+V27+V33+V39+V45+V50+V55+V61+V67+V73+V79+V85+V91+V97+V103+V109+V116+V122+V128+V134+V138</f>
        <v>11515.2</v>
      </c>
      <c r="W139" s="230">
        <f>W21+W27+W33+W39+W45+W50+W55+W61+W67+W73+W79+W85+W91+W97+W103+W109+W116+W122+W128+W134+W138</f>
        <v>11896.2</v>
      </c>
    </row>
    <row r="140" spans="1:23" ht="15.75" customHeight="1" thickBot="1">
      <c r="A140" s="7" t="s">
        <v>11</v>
      </c>
      <c r="B140" s="8" t="s">
        <v>24</v>
      </c>
      <c r="C140" s="350" t="s">
        <v>159</v>
      </c>
      <c r="D140" s="351"/>
      <c r="E140" s="351"/>
      <c r="F140" s="351"/>
      <c r="G140" s="351"/>
      <c r="H140" s="351"/>
      <c r="I140" s="366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3"/>
    </row>
    <row r="141" spans="1:23" ht="13.5" customHeight="1">
      <c r="A141" s="344" t="s">
        <v>11</v>
      </c>
      <c r="B141" s="346" t="s">
        <v>24</v>
      </c>
      <c r="C141" s="340" t="s">
        <v>11</v>
      </c>
      <c r="D141" s="373" t="s">
        <v>69</v>
      </c>
      <c r="E141" s="334"/>
      <c r="F141" s="384" t="s">
        <v>12</v>
      </c>
      <c r="G141" s="299" t="s">
        <v>83</v>
      </c>
      <c r="H141" s="388" t="s">
        <v>113</v>
      </c>
      <c r="I141" s="19" t="s">
        <v>14</v>
      </c>
      <c r="J141" s="48">
        <f>K141+M141</f>
        <v>72.2</v>
      </c>
      <c r="K141" s="49">
        <v>72.2</v>
      </c>
      <c r="L141" s="49">
        <v>41</v>
      </c>
      <c r="M141" s="97"/>
      <c r="N141" s="61">
        <f>O141+Q141</f>
        <v>86.4</v>
      </c>
      <c r="O141" s="49">
        <v>86.4</v>
      </c>
      <c r="P141" s="49">
        <v>46.4</v>
      </c>
      <c r="Q141" s="50"/>
      <c r="R141" s="114">
        <f aca="true" t="shared" si="1" ref="R141:R149">S141+U141</f>
        <v>0</v>
      </c>
      <c r="S141" s="115"/>
      <c r="T141" s="115"/>
      <c r="U141" s="134"/>
      <c r="V141" s="225">
        <v>90</v>
      </c>
      <c r="W141" s="225">
        <v>95</v>
      </c>
    </row>
    <row r="142" spans="1:23" ht="13.5" customHeight="1">
      <c r="A142" s="367"/>
      <c r="B142" s="369"/>
      <c r="C142" s="371"/>
      <c r="D142" s="374"/>
      <c r="E142" s="335"/>
      <c r="F142" s="385"/>
      <c r="G142" s="300"/>
      <c r="H142" s="389"/>
      <c r="I142" s="20" t="s">
        <v>73</v>
      </c>
      <c r="J142" s="14">
        <f>K142+M142</f>
        <v>45.1</v>
      </c>
      <c r="K142" s="15">
        <f>45.1</f>
        <v>45.1</v>
      </c>
      <c r="L142" s="15">
        <f>34.5</f>
        <v>34.5</v>
      </c>
      <c r="M142" s="98"/>
      <c r="N142" s="47">
        <f>O142+Q142</f>
        <v>51</v>
      </c>
      <c r="O142" s="15">
        <v>51</v>
      </c>
      <c r="P142" s="15">
        <v>39.1</v>
      </c>
      <c r="Q142" s="37"/>
      <c r="R142" s="117">
        <f t="shared" si="1"/>
        <v>0</v>
      </c>
      <c r="S142" s="118"/>
      <c r="T142" s="118"/>
      <c r="U142" s="135"/>
      <c r="V142" s="226">
        <v>60</v>
      </c>
      <c r="W142" s="226">
        <v>65</v>
      </c>
    </row>
    <row r="143" spans="1:23" ht="13.5" customHeight="1">
      <c r="A143" s="368"/>
      <c r="B143" s="370"/>
      <c r="C143" s="372"/>
      <c r="D143" s="374"/>
      <c r="E143" s="383"/>
      <c r="F143" s="386"/>
      <c r="G143" s="300"/>
      <c r="H143" s="390"/>
      <c r="I143" s="20" t="s">
        <v>164</v>
      </c>
      <c r="J143" s="99"/>
      <c r="K143" s="68"/>
      <c r="L143" s="68"/>
      <c r="M143" s="100"/>
      <c r="N143" s="47"/>
      <c r="O143" s="15"/>
      <c r="P143" s="15"/>
      <c r="Q143" s="37"/>
      <c r="R143" s="117">
        <f t="shared" si="1"/>
        <v>0</v>
      </c>
      <c r="S143" s="120"/>
      <c r="T143" s="120"/>
      <c r="U143" s="136"/>
      <c r="V143" s="228"/>
      <c r="W143" s="228"/>
    </row>
    <row r="144" spans="1:23" ht="13.5" customHeight="1">
      <c r="A144" s="368"/>
      <c r="B144" s="370"/>
      <c r="C144" s="372"/>
      <c r="D144" s="374"/>
      <c r="E144" s="383"/>
      <c r="F144" s="386"/>
      <c r="G144" s="300"/>
      <c r="H144" s="390"/>
      <c r="I144" s="20" t="s">
        <v>19</v>
      </c>
      <c r="J144" s="99">
        <f>K144+M144</f>
        <v>31.5</v>
      </c>
      <c r="K144" s="68">
        <f>31.5-1.5</f>
        <v>30</v>
      </c>
      <c r="L144" s="68"/>
      <c r="M144" s="100">
        <v>1.5</v>
      </c>
      <c r="N144" s="47">
        <f>O144+Q144</f>
        <v>31.5</v>
      </c>
      <c r="O144" s="15">
        <v>31.5</v>
      </c>
      <c r="P144" s="15"/>
      <c r="Q144" s="37"/>
      <c r="R144" s="126">
        <f>S144+U144</f>
        <v>0</v>
      </c>
      <c r="S144" s="120"/>
      <c r="T144" s="120"/>
      <c r="U144" s="136"/>
      <c r="V144" s="228">
        <v>30</v>
      </c>
      <c r="W144" s="228">
        <v>30</v>
      </c>
    </row>
    <row r="145" spans="1:23" ht="11.25" customHeight="1">
      <c r="A145" s="368"/>
      <c r="B145" s="370"/>
      <c r="C145" s="372"/>
      <c r="D145" s="374"/>
      <c r="E145" s="383"/>
      <c r="F145" s="386"/>
      <c r="G145" s="300"/>
      <c r="H145" s="390"/>
      <c r="I145" s="20" t="s">
        <v>70</v>
      </c>
      <c r="J145" s="99">
        <f>K145</f>
        <v>2</v>
      </c>
      <c r="K145" s="68">
        <v>2</v>
      </c>
      <c r="L145" s="68"/>
      <c r="M145" s="100"/>
      <c r="N145" s="47">
        <f>O145+Q145</f>
        <v>2</v>
      </c>
      <c r="O145" s="15">
        <v>2</v>
      </c>
      <c r="P145" s="68"/>
      <c r="Q145" s="70"/>
      <c r="R145" s="126">
        <f>S145</f>
        <v>0</v>
      </c>
      <c r="S145" s="120"/>
      <c r="T145" s="120"/>
      <c r="U145" s="136"/>
      <c r="V145" s="228"/>
      <c r="W145" s="228"/>
    </row>
    <row r="146" spans="1:26" ht="14.25" customHeight="1" thickBot="1">
      <c r="A146" s="345"/>
      <c r="B146" s="347"/>
      <c r="C146" s="341"/>
      <c r="D146" s="375"/>
      <c r="E146" s="336"/>
      <c r="F146" s="387"/>
      <c r="G146" s="301"/>
      <c r="H146" s="310"/>
      <c r="I146" s="107" t="s">
        <v>15</v>
      </c>
      <c r="J146" s="111">
        <f>M146+K146</f>
        <v>150.8</v>
      </c>
      <c r="K146" s="109">
        <f>K142+K141+K144+K145</f>
        <v>149.3</v>
      </c>
      <c r="L146" s="109">
        <f>L142+L141+L144+L145</f>
        <v>75.5</v>
      </c>
      <c r="M146" s="110">
        <f>M144+M142+M141</f>
        <v>1.5</v>
      </c>
      <c r="N146" s="111">
        <f>Q146+O146</f>
        <v>170.9</v>
      </c>
      <c r="O146" s="109">
        <f>O142+O141+O144+O145</f>
        <v>170.9</v>
      </c>
      <c r="P146" s="109">
        <f>P142+P141+P144+P145</f>
        <v>85.5</v>
      </c>
      <c r="Q146" s="112">
        <f>Q144+Q142+Q141</f>
        <v>0</v>
      </c>
      <c r="R146" s="108">
        <f t="shared" si="1"/>
        <v>0</v>
      </c>
      <c r="S146" s="109">
        <f>SUM(S141:S145)</f>
        <v>0</v>
      </c>
      <c r="T146" s="109">
        <f>SUM(T141:T145)</f>
        <v>0</v>
      </c>
      <c r="U146" s="112">
        <f>SUM(U141:U145)</f>
        <v>0</v>
      </c>
      <c r="V146" s="224">
        <f>V142+V141+V144+V145</f>
        <v>180</v>
      </c>
      <c r="W146" s="229">
        <f>W142+W141+W144+W145</f>
        <v>190</v>
      </c>
      <c r="X146" s="58"/>
      <c r="Z146" s="10"/>
    </row>
    <row r="147" spans="1:23" ht="31.5" customHeight="1">
      <c r="A147" s="344" t="s">
        <v>11</v>
      </c>
      <c r="B147" s="346" t="s">
        <v>24</v>
      </c>
      <c r="C147" s="340" t="s">
        <v>24</v>
      </c>
      <c r="D147" s="342" t="s">
        <v>170</v>
      </c>
      <c r="E147" s="334"/>
      <c r="F147" s="359" t="s">
        <v>12</v>
      </c>
      <c r="G147" s="299" t="s">
        <v>81</v>
      </c>
      <c r="H147" s="296" t="s">
        <v>188</v>
      </c>
      <c r="I147" s="22" t="s">
        <v>14</v>
      </c>
      <c r="J147" s="61">
        <f>K147+M147</f>
        <v>376</v>
      </c>
      <c r="K147" s="49">
        <v>376</v>
      </c>
      <c r="L147" s="49"/>
      <c r="M147" s="60"/>
      <c r="N147" s="59">
        <f aca="true" t="shared" si="2" ref="N147:N153">O147+Q147</f>
        <v>525.5</v>
      </c>
      <c r="O147" s="12">
        <v>525.5</v>
      </c>
      <c r="P147" s="86"/>
      <c r="Q147" s="87"/>
      <c r="R147" s="114">
        <f t="shared" si="1"/>
        <v>0</v>
      </c>
      <c r="S147" s="115"/>
      <c r="T147" s="115"/>
      <c r="U147" s="116"/>
      <c r="V147" s="231">
        <v>530</v>
      </c>
      <c r="W147" s="225">
        <v>540</v>
      </c>
    </row>
    <row r="148" spans="1:26" ht="19.5" customHeight="1" thickBot="1">
      <c r="A148" s="345"/>
      <c r="B148" s="347"/>
      <c r="C148" s="341"/>
      <c r="D148" s="343"/>
      <c r="E148" s="336"/>
      <c r="F148" s="361"/>
      <c r="G148" s="301"/>
      <c r="H148" s="297"/>
      <c r="I148" s="107" t="s">
        <v>15</v>
      </c>
      <c r="J148" s="111">
        <f>K148+M148</f>
        <v>376</v>
      </c>
      <c r="K148" s="109">
        <f>K147</f>
        <v>376</v>
      </c>
      <c r="L148" s="109">
        <f>L147</f>
        <v>0</v>
      </c>
      <c r="M148" s="110"/>
      <c r="N148" s="108">
        <f t="shared" si="2"/>
        <v>525.5</v>
      </c>
      <c r="O148" s="109">
        <f>O147</f>
        <v>525.5</v>
      </c>
      <c r="P148" s="109"/>
      <c r="Q148" s="112"/>
      <c r="R148" s="123">
        <f t="shared" si="1"/>
        <v>0</v>
      </c>
      <c r="S148" s="124">
        <f>SUM(S147:S147)</f>
        <v>0</v>
      </c>
      <c r="T148" s="124"/>
      <c r="U148" s="125"/>
      <c r="V148" s="229">
        <f>V147</f>
        <v>530</v>
      </c>
      <c r="W148" s="224">
        <f>W147</f>
        <v>540</v>
      </c>
      <c r="X148" s="9"/>
      <c r="Z148" s="10"/>
    </row>
    <row r="149" spans="1:24" s="158" customFormat="1" ht="15.75" customHeight="1">
      <c r="A149" s="344" t="s">
        <v>11</v>
      </c>
      <c r="B149" s="346" t="s">
        <v>24</v>
      </c>
      <c r="C149" s="340" t="s">
        <v>16</v>
      </c>
      <c r="D149" s="376" t="s">
        <v>169</v>
      </c>
      <c r="E149" s="356"/>
      <c r="F149" s="359" t="s">
        <v>12</v>
      </c>
      <c r="G149" s="299" t="s">
        <v>81</v>
      </c>
      <c r="H149" s="355" t="s">
        <v>82</v>
      </c>
      <c r="I149" s="19" t="s">
        <v>14</v>
      </c>
      <c r="J149" s="61">
        <f>K149+M149</f>
        <v>34.8</v>
      </c>
      <c r="K149" s="12">
        <v>34.8</v>
      </c>
      <c r="L149" s="12"/>
      <c r="M149" s="13"/>
      <c r="N149" s="59">
        <f t="shared" si="2"/>
        <v>58</v>
      </c>
      <c r="O149" s="170"/>
      <c r="P149" s="12"/>
      <c r="Q149" s="36">
        <v>58</v>
      </c>
      <c r="R149" s="114">
        <f t="shared" si="1"/>
        <v>0</v>
      </c>
      <c r="S149" s="115"/>
      <c r="T149" s="115"/>
      <c r="U149" s="116"/>
      <c r="V149" s="231">
        <v>50</v>
      </c>
      <c r="W149" s="232">
        <v>50</v>
      </c>
      <c r="X149" s="157"/>
    </row>
    <row r="150" spans="1:26" s="158" customFormat="1" ht="11.25" customHeight="1">
      <c r="A150" s="367"/>
      <c r="B150" s="369"/>
      <c r="C150" s="371"/>
      <c r="D150" s="377"/>
      <c r="E150" s="357"/>
      <c r="F150" s="360"/>
      <c r="G150" s="300"/>
      <c r="H150" s="298"/>
      <c r="I150" s="21" t="s">
        <v>164</v>
      </c>
      <c r="J150" s="47"/>
      <c r="K150" s="15"/>
      <c r="L150" s="15"/>
      <c r="M150" s="16"/>
      <c r="N150" s="14">
        <f t="shared" si="2"/>
        <v>232</v>
      </c>
      <c r="O150" s="138"/>
      <c r="P150" s="15"/>
      <c r="Q150" s="37">
        <v>232</v>
      </c>
      <c r="R150" s="117"/>
      <c r="S150" s="118"/>
      <c r="T150" s="118"/>
      <c r="U150" s="119"/>
      <c r="V150" s="233"/>
      <c r="W150" s="220"/>
      <c r="X150" s="162"/>
      <c r="Z150" s="163"/>
    </row>
    <row r="151" spans="1:26" s="158" customFormat="1" ht="13.5" customHeight="1" thickBot="1">
      <c r="A151" s="345"/>
      <c r="B151" s="347"/>
      <c r="C151" s="341"/>
      <c r="D151" s="378"/>
      <c r="E151" s="358"/>
      <c r="F151" s="361"/>
      <c r="G151" s="301"/>
      <c r="H151" s="297"/>
      <c r="I151" s="107" t="s">
        <v>15</v>
      </c>
      <c r="J151" s="111">
        <f>K151+M151</f>
        <v>34.8</v>
      </c>
      <c r="K151" s="109">
        <f>K149</f>
        <v>34.8</v>
      </c>
      <c r="L151" s="109"/>
      <c r="M151" s="110"/>
      <c r="N151" s="108">
        <f t="shared" si="2"/>
        <v>0</v>
      </c>
      <c r="O151" s="109">
        <f>O149+O150</f>
        <v>0</v>
      </c>
      <c r="P151" s="109"/>
      <c r="Q151" s="112"/>
      <c r="R151" s="123">
        <f>S151+U151</f>
        <v>0</v>
      </c>
      <c r="S151" s="124">
        <f>SUM(S149:S150)</f>
        <v>0</v>
      </c>
      <c r="T151" s="124"/>
      <c r="U151" s="125"/>
      <c r="V151" s="229">
        <f>V150+V149</f>
        <v>50</v>
      </c>
      <c r="W151" s="234">
        <f>W150+W149</f>
        <v>50</v>
      </c>
      <c r="X151" s="162"/>
      <c r="Z151" s="163"/>
    </row>
    <row r="152" spans="1:24" ht="13.5" customHeight="1">
      <c r="A152" s="397" t="s">
        <v>11</v>
      </c>
      <c r="B152" s="399" t="s">
        <v>24</v>
      </c>
      <c r="C152" s="340" t="s">
        <v>17</v>
      </c>
      <c r="D152" s="342" t="s">
        <v>171</v>
      </c>
      <c r="E152" s="334"/>
      <c r="F152" s="362" t="s">
        <v>12</v>
      </c>
      <c r="G152" s="331" t="s">
        <v>81</v>
      </c>
      <c r="H152" s="296" t="s">
        <v>82</v>
      </c>
      <c r="I152" s="19" t="s">
        <v>14</v>
      </c>
      <c r="J152" s="61">
        <f>K152+M152</f>
        <v>135.2</v>
      </c>
      <c r="K152" s="49">
        <f>160-34.8+5+5</f>
        <v>135.2</v>
      </c>
      <c r="L152" s="49"/>
      <c r="M152" s="60"/>
      <c r="N152" s="59">
        <f t="shared" si="2"/>
        <v>250</v>
      </c>
      <c r="O152" s="49">
        <v>250</v>
      </c>
      <c r="P152" s="49"/>
      <c r="Q152" s="50"/>
      <c r="R152" s="114">
        <f>S152+U152</f>
        <v>0</v>
      </c>
      <c r="S152" s="115"/>
      <c r="T152" s="115"/>
      <c r="U152" s="127"/>
      <c r="V152" s="235">
        <v>250</v>
      </c>
      <c r="W152" s="218">
        <v>250</v>
      </c>
      <c r="X152" s="73"/>
    </row>
    <row r="153" spans="1:24" ht="12" customHeight="1">
      <c r="A153" s="380"/>
      <c r="B153" s="365"/>
      <c r="C153" s="371"/>
      <c r="D153" s="348"/>
      <c r="E153" s="335"/>
      <c r="F153" s="363"/>
      <c r="G153" s="332"/>
      <c r="H153" s="298"/>
      <c r="I153" s="21"/>
      <c r="J153" s="47">
        <f>K153+M153</f>
        <v>0</v>
      </c>
      <c r="K153" s="15"/>
      <c r="L153" s="15"/>
      <c r="M153" s="16"/>
      <c r="N153" s="137">
        <f t="shared" si="2"/>
        <v>0</v>
      </c>
      <c r="O153" s="138"/>
      <c r="P153" s="138"/>
      <c r="Q153" s="139"/>
      <c r="R153" s="140">
        <f>S153+U153</f>
        <v>0</v>
      </c>
      <c r="S153" s="141"/>
      <c r="T153" s="141"/>
      <c r="U153" s="142"/>
      <c r="V153" s="236"/>
      <c r="W153" s="237"/>
      <c r="X153" s="9"/>
    </row>
    <row r="154" spans="1:24" ht="13.5" customHeight="1" thickBot="1">
      <c r="A154" s="398"/>
      <c r="B154" s="400"/>
      <c r="C154" s="341"/>
      <c r="D154" s="343"/>
      <c r="E154" s="336"/>
      <c r="F154" s="364"/>
      <c r="G154" s="333"/>
      <c r="H154" s="297"/>
      <c r="I154" s="128" t="s">
        <v>15</v>
      </c>
      <c r="J154" s="111">
        <f aca="true" t="shared" si="3" ref="J154:Q154">J152+J153</f>
        <v>135.2</v>
      </c>
      <c r="K154" s="109">
        <f t="shared" si="3"/>
        <v>135.2</v>
      </c>
      <c r="L154" s="109">
        <f t="shared" si="3"/>
        <v>0</v>
      </c>
      <c r="M154" s="109">
        <f t="shared" si="3"/>
        <v>0</v>
      </c>
      <c r="N154" s="111">
        <f t="shared" si="3"/>
        <v>250</v>
      </c>
      <c r="O154" s="109">
        <f t="shared" si="3"/>
        <v>250</v>
      </c>
      <c r="P154" s="109">
        <f t="shared" si="3"/>
        <v>0</v>
      </c>
      <c r="Q154" s="109">
        <f t="shared" si="3"/>
        <v>0</v>
      </c>
      <c r="R154" s="123">
        <f>S154+U154</f>
        <v>0</v>
      </c>
      <c r="S154" s="124">
        <f>S152+S153</f>
        <v>0</v>
      </c>
      <c r="T154" s="124">
        <f>T152+T153</f>
        <v>0</v>
      </c>
      <c r="U154" s="124">
        <f>U152+U153</f>
        <v>0</v>
      </c>
      <c r="V154" s="224">
        <f>V152+V153</f>
        <v>250</v>
      </c>
      <c r="W154" s="224">
        <f>W152+W153</f>
        <v>250</v>
      </c>
      <c r="X154" s="9"/>
    </row>
    <row r="155" spans="1:23" ht="13.5" customHeight="1" thickBot="1">
      <c r="A155" s="72" t="s">
        <v>11</v>
      </c>
      <c r="B155" s="71" t="s">
        <v>24</v>
      </c>
      <c r="C155" s="337" t="s">
        <v>23</v>
      </c>
      <c r="D155" s="338"/>
      <c r="E155" s="338"/>
      <c r="F155" s="338"/>
      <c r="G155" s="338"/>
      <c r="H155" s="338"/>
      <c r="I155" s="354"/>
      <c r="J155" s="51">
        <f>K155+M155</f>
        <v>696.8</v>
      </c>
      <c r="K155" s="52">
        <f>K154+K151+K148+K146</f>
        <v>695.3</v>
      </c>
      <c r="L155" s="52">
        <f>L154+L151+L148+L146</f>
        <v>75.5</v>
      </c>
      <c r="M155" s="52">
        <f>M154+M151+M148+M146</f>
        <v>1.5</v>
      </c>
      <c r="N155" s="51">
        <f>O155+Q155</f>
        <v>946.4</v>
      </c>
      <c r="O155" s="52">
        <f>O154+O151+O148+O146</f>
        <v>946.4</v>
      </c>
      <c r="P155" s="52">
        <f>P154+P151+P148+P146</f>
        <v>85.5</v>
      </c>
      <c r="Q155" s="52">
        <f>Q154+Q151+Q148+Q146</f>
        <v>0</v>
      </c>
      <c r="R155" s="51">
        <f>S155+U155</f>
        <v>0</v>
      </c>
      <c r="S155" s="52">
        <f>S154+S151+S148+S146</f>
        <v>0</v>
      </c>
      <c r="T155" s="52">
        <f>T154+T151+T148+T146</f>
        <v>0</v>
      </c>
      <c r="U155" s="78">
        <f>U154+U151+U148+U146</f>
        <v>0</v>
      </c>
      <c r="V155" s="238">
        <f>V154+V151+V148+V146</f>
        <v>1010</v>
      </c>
      <c r="W155" s="238">
        <f>W154+W151+W148+W146</f>
        <v>1030</v>
      </c>
    </row>
    <row r="156" spans="1:23" ht="14.25" customHeight="1" thickBot="1">
      <c r="A156" s="17" t="s">
        <v>11</v>
      </c>
      <c r="B156" s="18" t="s">
        <v>16</v>
      </c>
      <c r="C156" s="350" t="s">
        <v>160</v>
      </c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2"/>
      <c r="O156" s="352"/>
      <c r="P156" s="352"/>
      <c r="Q156" s="352"/>
      <c r="R156" s="352"/>
      <c r="S156" s="352"/>
      <c r="T156" s="352"/>
      <c r="U156" s="352"/>
      <c r="V156" s="351"/>
      <c r="W156" s="353"/>
    </row>
    <row r="157" spans="1:23" s="158" customFormat="1" ht="13.5" customHeight="1" hidden="1">
      <c r="A157" s="450" t="s">
        <v>11</v>
      </c>
      <c r="B157" s="453" t="s">
        <v>16</v>
      </c>
      <c r="C157" s="456" t="s">
        <v>11</v>
      </c>
      <c r="D157" s="446" t="s">
        <v>151</v>
      </c>
      <c r="E157" s="442"/>
      <c r="F157" s="327" t="s">
        <v>12</v>
      </c>
      <c r="G157" s="519" t="s">
        <v>81</v>
      </c>
      <c r="H157" s="292" t="s">
        <v>55</v>
      </c>
      <c r="I157" s="153" t="s">
        <v>26</v>
      </c>
      <c r="J157" s="169">
        <f>M157</f>
        <v>0</v>
      </c>
      <c r="K157" s="170"/>
      <c r="L157" s="170"/>
      <c r="M157" s="171"/>
      <c r="N157" s="172">
        <f>O157+Q157</f>
        <v>0</v>
      </c>
      <c r="O157" s="170"/>
      <c r="P157" s="170"/>
      <c r="Q157" s="173"/>
      <c r="R157" s="154">
        <f>U157</f>
        <v>0</v>
      </c>
      <c r="S157" s="155"/>
      <c r="T157" s="155"/>
      <c r="U157" s="156"/>
      <c r="V157" s="174"/>
      <c r="W157" s="175"/>
    </row>
    <row r="158" spans="1:23" s="158" customFormat="1" ht="13.5" customHeight="1" hidden="1">
      <c r="A158" s="451"/>
      <c r="B158" s="454"/>
      <c r="C158" s="457"/>
      <c r="D158" s="447"/>
      <c r="E158" s="443"/>
      <c r="F158" s="328"/>
      <c r="G158" s="520"/>
      <c r="H158" s="293"/>
      <c r="I158" s="176" t="s">
        <v>152</v>
      </c>
      <c r="J158" s="177">
        <f>M158</f>
        <v>0</v>
      </c>
      <c r="K158" s="178"/>
      <c r="L158" s="178"/>
      <c r="M158" s="179"/>
      <c r="N158" s="180">
        <f>Q158</f>
        <v>0</v>
      </c>
      <c r="O158" s="178"/>
      <c r="P158" s="178"/>
      <c r="Q158" s="181"/>
      <c r="R158" s="182">
        <f>U158</f>
        <v>0</v>
      </c>
      <c r="S158" s="183"/>
      <c r="T158" s="183"/>
      <c r="U158" s="184"/>
      <c r="V158" s="185"/>
      <c r="W158" s="186"/>
    </row>
    <row r="159" spans="1:23" s="158" customFormat="1" ht="13.5" customHeight="1" hidden="1">
      <c r="A159" s="451"/>
      <c r="B159" s="454"/>
      <c r="C159" s="458"/>
      <c r="D159" s="448"/>
      <c r="E159" s="444"/>
      <c r="F159" s="329"/>
      <c r="G159" s="520"/>
      <c r="H159" s="294"/>
      <c r="I159" s="187" t="s">
        <v>131</v>
      </c>
      <c r="J159" s="160">
        <f>M159</f>
        <v>0</v>
      </c>
      <c r="K159" s="138"/>
      <c r="L159" s="138"/>
      <c r="M159" s="139"/>
      <c r="N159" s="160">
        <f>O159+Q159</f>
        <v>0</v>
      </c>
      <c r="O159" s="138"/>
      <c r="P159" s="138"/>
      <c r="Q159" s="159"/>
      <c r="R159" s="140">
        <f>U159</f>
        <v>0</v>
      </c>
      <c r="S159" s="141"/>
      <c r="T159" s="141"/>
      <c r="U159" s="161"/>
      <c r="V159" s="207"/>
      <c r="W159" s="143"/>
    </row>
    <row r="160" spans="1:23" s="158" customFormat="1" ht="13.5" customHeight="1" hidden="1" thickBot="1">
      <c r="A160" s="452"/>
      <c r="B160" s="455"/>
      <c r="C160" s="459"/>
      <c r="D160" s="449"/>
      <c r="E160" s="445"/>
      <c r="F160" s="330"/>
      <c r="G160" s="521"/>
      <c r="H160" s="295"/>
      <c r="I160" s="164" t="s">
        <v>15</v>
      </c>
      <c r="J160" s="165">
        <f>K160+M160</f>
        <v>0</v>
      </c>
      <c r="K160" s="166">
        <f>K157+K158+K159</f>
        <v>0</v>
      </c>
      <c r="L160" s="166">
        <f>L157+L158+L159</f>
        <v>0</v>
      </c>
      <c r="M160" s="166">
        <f>M157+M158+M159</f>
        <v>0</v>
      </c>
      <c r="N160" s="168">
        <f>O160+Q160</f>
        <v>0</v>
      </c>
      <c r="O160" s="166">
        <f>O157+O158+O159</f>
        <v>0</v>
      </c>
      <c r="P160" s="166">
        <f>P157+P158+P159</f>
        <v>0</v>
      </c>
      <c r="Q160" s="166">
        <f>Q157+Q158+Q159</f>
        <v>0</v>
      </c>
      <c r="R160" s="168">
        <f>S160+U160</f>
        <v>0</v>
      </c>
      <c r="S160" s="166">
        <f>S157+S158+S159</f>
        <v>0</v>
      </c>
      <c r="T160" s="166">
        <f>T157+T158+T159</f>
        <v>0</v>
      </c>
      <c r="U160" s="166">
        <f>U157+U158+U159</f>
        <v>0</v>
      </c>
      <c r="V160" s="166">
        <f>V157+V158+V159</f>
        <v>0</v>
      </c>
      <c r="W160" s="167">
        <f>W157+W158+W159</f>
        <v>0</v>
      </c>
    </row>
    <row r="161" spans="1:23" ht="13.5" customHeight="1">
      <c r="A161" s="344" t="s">
        <v>11</v>
      </c>
      <c r="B161" s="346" t="s">
        <v>16</v>
      </c>
      <c r="C161" s="340" t="s">
        <v>24</v>
      </c>
      <c r="D161" s="464" t="s">
        <v>175</v>
      </c>
      <c r="E161" s="324"/>
      <c r="F161" s="359" t="s">
        <v>12</v>
      </c>
      <c r="G161" s="331" t="s">
        <v>81</v>
      </c>
      <c r="H161" s="475" t="s">
        <v>82</v>
      </c>
      <c r="I161" s="19" t="s">
        <v>14</v>
      </c>
      <c r="J161" s="48">
        <f>K161+M161</f>
        <v>6</v>
      </c>
      <c r="K161" s="12">
        <v>6</v>
      </c>
      <c r="L161" s="12"/>
      <c r="M161" s="13"/>
      <c r="N161" s="11">
        <f>O161</f>
        <v>20</v>
      </c>
      <c r="O161" s="12">
        <v>20</v>
      </c>
      <c r="P161" s="12"/>
      <c r="Q161" s="13"/>
      <c r="R161" s="114">
        <f>S161</f>
        <v>0</v>
      </c>
      <c r="S161" s="115"/>
      <c r="T161" s="115"/>
      <c r="U161" s="116"/>
      <c r="V161" s="239">
        <v>20</v>
      </c>
      <c r="W161" s="225">
        <v>20</v>
      </c>
    </row>
    <row r="162" spans="1:23" ht="10.5" customHeight="1">
      <c r="A162" s="440"/>
      <c r="B162" s="441"/>
      <c r="C162" s="436"/>
      <c r="D162" s="465"/>
      <c r="E162" s="409"/>
      <c r="F162" s="463"/>
      <c r="G162" s="332"/>
      <c r="H162" s="476"/>
      <c r="I162" s="22"/>
      <c r="J162" s="44"/>
      <c r="K162" s="45"/>
      <c r="L162" s="45"/>
      <c r="M162" s="46"/>
      <c r="N162" s="44"/>
      <c r="O162" s="45"/>
      <c r="P162" s="45"/>
      <c r="Q162" s="46"/>
      <c r="R162" s="129"/>
      <c r="S162" s="130"/>
      <c r="T162" s="130"/>
      <c r="U162" s="131"/>
      <c r="V162" s="240"/>
      <c r="W162" s="232"/>
    </row>
    <row r="163" spans="1:26" ht="14.25" customHeight="1" thickBot="1">
      <c r="A163" s="345"/>
      <c r="B163" s="347"/>
      <c r="C163" s="341"/>
      <c r="D163" s="466"/>
      <c r="E163" s="336"/>
      <c r="F163" s="361"/>
      <c r="G163" s="333"/>
      <c r="H163" s="477"/>
      <c r="I163" s="107" t="s">
        <v>15</v>
      </c>
      <c r="J163" s="108">
        <f>K163+M163</f>
        <v>6</v>
      </c>
      <c r="K163" s="109">
        <f>K162+K161</f>
        <v>6</v>
      </c>
      <c r="L163" s="109"/>
      <c r="M163" s="110"/>
      <c r="N163" s="108">
        <f>O163+Q163</f>
        <v>20</v>
      </c>
      <c r="O163" s="109">
        <f>O162+O161</f>
        <v>20</v>
      </c>
      <c r="P163" s="109"/>
      <c r="Q163" s="110"/>
      <c r="R163" s="108">
        <f>S163</f>
        <v>0</v>
      </c>
      <c r="S163" s="109">
        <f>S161</f>
        <v>0</v>
      </c>
      <c r="T163" s="109"/>
      <c r="U163" s="110"/>
      <c r="V163" s="241">
        <f>V162+V161</f>
        <v>20</v>
      </c>
      <c r="W163" s="224">
        <f>W162+W161</f>
        <v>20</v>
      </c>
      <c r="X163" s="9"/>
      <c r="Z163" s="10"/>
    </row>
    <row r="164" spans="1:26" ht="12.75" customHeight="1">
      <c r="A164" s="344" t="s">
        <v>11</v>
      </c>
      <c r="B164" s="346" t="s">
        <v>16</v>
      </c>
      <c r="C164" s="340" t="s">
        <v>16</v>
      </c>
      <c r="D164" s="460" t="s">
        <v>163</v>
      </c>
      <c r="E164" s="324"/>
      <c r="F164" s="384" t="s">
        <v>12</v>
      </c>
      <c r="G164" s="331" t="s">
        <v>81</v>
      </c>
      <c r="H164" s="475" t="s">
        <v>82</v>
      </c>
      <c r="I164" s="19" t="s">
        <v>14</v>
      </c>
      <c r="J164" s="48">
        <f>K164+M164</f>
        <v>20</v>
      </c>
      <c r="K164" s="12"/>
      <c r="L164" s="12"/>
      <c r="M164" s="36">
        <v>20</v>
      </c>
      <c r="N164" s="11">
        <f>O164+Q164</f>
        <v>40</v>
      </c>
      <c r="O164" s="12">
        <v>40</v>
      </c>
      <c r="P164" s="12"/>
      <c r="Q164" s="13"/>
      <c r="R164" s="114">
        <f>S164+U164</f>
        <v>0</v>
      </c>
      <c r="S164" s="115"/>
      <c r="T164" s="115"/>
      <c r="U164" s="127"/>
      <c r="V164" s="242">
        <v>40</v>
      </c>
      <c r="W164" s="225">
        <v>40</v>
      </c>
      <c r="X164" s="74"/>
      <c r="Z164" s="10"/>
    </row>
    <row r="165" spans="1:26" ht="11.25" customHeight="1">
      <c r="A165" s="440"/>
      <c r="B165" s="441"/>
      <c r="C165" s="436"/>
      <c r="D165" s="461"/>
      <c r="E165" s="325"/>
      <c r="F165" s="408"/>
      <c r="G165" s="332"/>
      <c r="H165" s="476"/>
      <c r="I165" s="22" t="s">
        <v>164</v>
      </c>
      <c r="J165" s="44"/>
      <c r="K165" s="45"/>
      <c r="L165" s="45"/>
      <c r="M165" s="53"/>
      <c r="N165" s="151">
        <f>O165+Q165</f>
        <v>50</v>
      </c>
      <c r="O165" s="149">
        <v>50</v>
      </c>
      <c r="P165" s="149"/>
      <c r="Q165" s="150"/>
      <c r="R165" s="129"/>
      <c r="S165" s="130"/>
      <c r="T165" s="130"/>
      <c r="U165" s="132"/>
      <c r="V165" s="243"/>
      <c r="W165" s="226"/>
      <c r="X165" s="9"/>
      <c r="Z165" s="10"/>
    </row>
    <row r="166" spans="1:26" ht="17.25" customHeight="1" thickBot="1">
      <c r="A166" s="345"/>
      <c r="B166" s="347"/>
      <c r="C166" s="341"/>
      <c r="D166" s="462"/>
      <c r="E166" s="326"/>
      <c r="F166" s="387"/>
      <c r="G166" s="333"/>
      <c r="H166" s="477"/>
      <c r="I166" s="107" t="s">
        <v>15</v>
      </c>
      <c r="J166" s="108">
        <f>K166+M166</f>
        <v>20</v>
      </c>
      <c r="K166" s="109">
        <f>K165+K164</f>
        <v>0</v>
      </c>
      <c r="L166" s="109"/>
      <c r="M166" s="112">
        <f>SUM(M164:M165)</f>
        <v>20</v>
      </c>
      <c r="N166" s="108">
        <f aca="true" t="shared" si="4" ref="N166:N172">O166+Q166</f>
        <v>90</v>
      </c>
      <c r="O166" s="109">
        <f>O165+O164</f>
        <v>90</v>
      </c>
      <c r="P166" s="109"/>
      <c r="Q166" s="109">
        <f>Q165+Q164</f>
        <v>0</v>
      </c>
      <c r="R166" s="108">
        <f>S166+U166</f>
        <v>0</v>
      </c>
      <c r="S166" s="109">
        <f>S164</f>
        <v>0</v>
      </c>
      <c r="T166" s="109"/>
      <c r="U166" s="112">
        <f>U164</f>
        <v>0</v>
      </c>
      <c r="V166" s="223">
        <f>V165+V164</f>
        <v>40</v>
      </c>
      <c r="W166" s="224">
        <f>W165+W164</f>
        <v>40</v>
      </c>
      <c r="X166" s="9"/>
      <c r="Z166" s="10"/>
    </row>
    <row r="167" spans="1:26" ht="13.5" customHeight="1">
      <c r="A167" s="397" t="s">
        <v>11</v>
      </c>
      <c r="B167" s="399" t="s">
        <v>16</v>
      </c>
      <c r="C167" s="401" t="s">
        <v>17</v>
      </c>
      <c r="D167" s="342" t="s">
        <v>174</v>
      </c>
      <c r="E167" s="535"/>
      <c r="F167" s="532" t="s">
        <v>12</v>
      </c>
      <c r="G167" s="331" t="s">
        <v>81</v>
      </c>
      <c r="H167" s="512" t="s">
        <v>55</v>
      </c>
      <c r="I167" s="19" t="s">
        <v>152</v>
      </c>
      <c r="J167" s="48">
        <f>K167+M167</f>
        <v>24.2</v>
      </c>
      <c r="K167" s="12"/>
      <c r="L167" s="12"/>
      <c r="M167" s="13">
        <v>24.2</v>
      </c>
      <c r="N167" s="11">
        <f t="shared" si="4"/>
        <v>33.7</v>
      </c>
      <c r="O167" s="12"/>
      <c r="P167" s="12"/>
      <c r="Q167" s="13">
        <f>15+18.7</f>
        <v>33.7</v>
      </c>
      <c r="R167" s="114">
        <f>S167+U167</f>
        <v>0</v>
      </c>
      <c r="S167" s="115"/>
      <c r="T167" s="115"/>
      <c r="U167" s="116"/>
      <c r="V167" s="239">
        <f>12.2+10.8+17</f>
        <v>40</v>
      </c>
      <c r="W167" s="232">
        <v>10</v>
      </c>
      <c r="X167" s="9"/>
      <c r="Z167" s="10"/>
    </row>
    <row r="168" spans="1:26" ht="13.5" customHeight="1">
      <c r="A168" s="380"/>
      <c r="B168" s="365"/>
      <c r="C168" s="379"/>
      <c r="D168" s="348"/>
      <c r="E168" s="536"/>
      <c r="F168" s="533"/>
      <c r="G168" s="332"/>
      <c r="H168" s="513"/>
      <c r="I168" s="22" t="s">
        <v>26</v>
      </c>
      <c r="J168" s="44">
        <f>M168</f>
        <v>0</v>
      </c>
      <c r="K168" s="45"/>
      <c r="L168" s="45"/>
      <c r="M168" s="46"/>
      <c r="N168" s="14">
        <f t="shared" si="4"/>
        <v>300</v>
      </c>
      <c r="O168" s="45"/>
      <c r="P168" s="45"/>
      <c r="Q168" s="248">
        <f>200+100</f>
        <v>300</v>
      </c>
      <c r="R168" s="129">
        <f>U168</f>
        <v>0</v>
      </c>
      <c r="S168" s="130"/>
      <c r="T168" s="130"/>
      <c r="U168" s="131"/>
      <c r="V168" s="240">
        <f>297.5+85+170</f>
        <v>552.5</v>
      </c>
      <c r="W168" s="232">
        <f>184.7+51.9+60.2</f>
        <v>296.8</v>
      </c>
      <c r="X168" s="9"/>
      <c r="Z168" s="10"/>
    </row>
    <row r="169" spans="1:26" ht="13.5" customHeight="1">
      <c r="A169" s="380"/>
      <c r="B169" s="365"/>
      <c r="C169" s="379"/>
      <c r="D169" s="348"/>
      <c r="E169" s="536"/>
      <c r="F169" s="533"/>
      <c r="G169" s="332"/>
      <c r="H169" s="513"/>
      <c r="I169" s="20" t="s">
        <v>14</v>
      </c>
      <c r="J169" s="151">
        <f>M169</f>
        <v>38</v>
      </c>
      <c r="K169" s="149"/>
      <c r="L169" s="149"/>
      <c r="M169" s="249">
        <v>38</v>
      </c>
      <c r="N169" s="14">
        <f t="shared" si="4"/>
        <v>40</v>
      </c>
      <c r="O169" s="149">
        <v>40</v>
      </c>
      <c r="P169" s="149"/>
      <c r="Q169" s="16"/>
      <c r="R169" s="117">
        <f>U169</f>
        <v>0</v>
      </c>
      <c r="S169" s="118"/>
      <c r="T169" s="118"/>
      <c r="U169" s="119"/>
      <c r="V169" s="250">
        <v>40</v>
      </c>
      <c r="W169" s="226">
        <v>40</v>
      </c>
      <c r="X169" s="9"/>
      <c r="Z169" s="10"/>
    </row>
    <row r="170" spans="1:26" ht="13.5" customHeight="1">
      <c r="A170" s="380"/>
      <c r="B170" s="365"/>
      <c r="C170" s="379"/>
      <c r="D170" s="348"/>
      <c r="E170" s="536"/>
      <c r="F170" s="533"/>
      <c r="G170" s="332"/>
      <c r="H170" s="513"/>
      <c r="I170" s="188" t="s">
        <v>164</v>
      </c>
      <c r="J170" s="251">
        <f>K170+M170</f>
        <v>80</v>
      </c>
      <c r="K170" s="189"/>
      <c r="L170" s="189"/>
      <c r="M170" s="252">
        <v>80</v>
      </c>
      <c r="N170" s="253">
        <f t="shared" si="4"/>
        <v>18.7</v>
      </c>
      <c r="O170" s="15"/>
      <c r="P170" s="189"/>
      <c r="Q170" s="254">
        <v>18.7</v>
      </c>
      <c r="R170" s="255"/>
      <c r="S170" s="190"/>
      <c r="T170" s="190"/>
      <c r="U170" s="191"/>
      <c r="V170" s="256">
        <f>10.8+7</f>
        <v>17.8</v>
      </c>
      <c r="W170" s="227">
        <v>10</v>
      </c>
      <c r="X170" s="9"/>
      <c r="Z170" s="10"/>
    </row>
    <row r="171" spans="1:26" ht="13.5" customHeight="1" thickBot="1">
      <c r="A171" s="398"/>
      <c r="B171" s="400"/>
      <c r="C171" s="402"/>
      <c r="D171" s="343"/>
      <c r="E171" s="537"/>
      <c r="F171" s="534"/>
      <c r="G171" s="333"/>
      <c r="H171" s="514"/>
      <c r="I171" s="107" t="s">
        <v>15</v>
      </c>
      <c r="J171" s="108">
        <f>K171+M171</f>
        <v>142.2</v>
      </c>
      <c r="K171" s="109">
        <f>K167+K168</f>
        <v>0</v>
      </c>
      <c r="L171" s="109">
        <f>L167+L168</f>
        <v>0</v>
      </c>
      <c r="M171" s="109">
        <f>M167+M168+M169+M170</f>
        <v>142.2</v>
      </c>
      <c r="N171" s="108">
        <f t="shared" si="4"/>
        <v>392.4</v>
      </c>
      <c r="O171" s="109">
        <f>SUM(O167:O170)</f>
        <v>40</v>
      </c>
      <c r="P171" s="109"/>
      <c r="Q171" s="110">
        <f>Q167+Q168+Q169+Q170</f>
        <v>352.4</v>
      </c>
      <c r="R171" s="108">
        <f>S171+U171</f>
        <v>0</v>
      </c>
      <c r="S171" s="109"/>
      <c r="T171" s="109"/>
      <c r="U171" s="110">
        <f>SUM(U167:U169)</f>
        <v>0</v>
      </c>
      <c r="V171" s="241">
        <f>V168+V167+V169+V170</f>
        <v>650.3</v>
      </c>
      <c r="W171" s="224">
        <f>W168+W167+W169+W170</f>
        <v>356.8</v>
      </c>
      <c r="X171" s="9"/>
      <c r="Z171" s="10"/>
    </row>
    <row r="172" spans="1:26" ht="14.25" customHeight="1" thickBot="1">
      <c r="A172" s="66" t="s">
        <v>11</v>
      </c>
      <c r="B172" s="67" t="s">
        <v>16</v>
      </c>
      <c r="C172" s="337" t="s">
        <v>23</v>
      </c>
      <c r="D172" s="338"/>
      <c r="E172" s="338"/>
      <c r="F172" s="338"/>
      <c r="G172" s="338"/>
      <c r="H172" s="338"/>
      <c r="I172" s="339"/>
      <c r="J172" s="51">
        <f>K172+M172</f>
        <v>168.2</v>
      </c>
      <c r="K172" s="52">
        <f>K160+K163+K166+K171</f>
        <v>6</v>
      </c>
      <c r="L172" s="52">
        <f>L160+L163+L166+L171</f>
        <v>0</v>
      </c>
      <c r="M172" s="52">
        <f>M160+M163+M166+M171</f>
        <v>162.2</v>
      </c>
      <c r="N172" s="51">
        <f t="shared" si="4"/>
        <v>502.4</v>
      </c>
      <c r="O172" s="52">
        <f>O160+O163+O166+O171</f>
        <v>150</v>
      </c>
      <c r="P172" s="52">
        <f>P160+P163+P166+P171</f>
        <v>0</v>
      </c>
      <c r="Q172" s="52">
        <f>Q160+Q163+Q166+Q171</f>
        <v>352.4</v>
      </c>
      <c r="R172" s="51">
        <f>S172+U172</f>
        <v>0</v>
      </c>
      <c r="S172" s="52">
        <f>S160+S163+S166+S171</f>
        <v>0</v>
      </c>
      <c r="T172" s="52">
        <f>T160+T163+T166+T171</f>
        <v>0</v>
      </c>
      <c r="U172" s="52">
        <f>U160+U163+U166+U171</f>
        <v>0</v>
      </c>
      <c r="V172" s="52">
        <f>V163+V166+V171</f>
        <v>710.3</v>
      </c>
      <c r="W172" s="52">
        <f>W163+W166+W171</f>
        <v>416.8</v>
      </c>
      <c r="X172" s="9"/>
      <c r="Z172" s="10"/>
    </row>
    <row r="173" spans="1:24" ht="14.25" customHeight="1" thickBot="1">
      <c r="A173" s="17" t="s">
        <v>11</v>
      </c>
      <c r="B173" s="18" t="s">
        <v>17</v>
      </c>
      <c r="C173" s="350" t="s">
        <v>71</v>
      </c>
      <c r="D173" s="351"/>
      <c r="E173" s="351"/>
      <c r="F173" s="351"/>
      <c r="G173" s="351"/>
      <c r="H173" s="351"/>
      <c r="I173" s="351"/>
      <c r="J173" s="351"/>
      <c r="K173" s="351"/>
      <c r="L173" s="351"/>
      <c r="M173" s="351"/>
      <c r="N173" s="352"/>
      <c r="O173" s="352"/>
      <c r="P173" s="352"/>
      <c r="Q173" s="352"/>
      <c r="R173" s="352"/>
      <c r="S173" s="352"/>
      <c r="T173" s="352"/>
      <c r="U173" s="352"/>
      <c r="V173" s="351"/>
      <c r="W173" s="353"/>
      <c r="X173" s="77"/>
    </row>
    <row r="174" spans="1:26" ht="15.75" customHeight="1">
      <c r="A174" s="344" t="s">
        <v>11</v>
      </c>
      <c r="B174" s="346" t="s">
        <v>17</v>
      </c>
      <c r="C174" s="340" t="s">
        <v>11</v>
      </c>
      <c r="D174" s="464" t="s">
        <v>154</v>
      </c>
      <c r="E174" s="334"/>
      <c r="F174" s="359"/>
      <c r="G174" s="331" t="s">
        <v>81</v>
      </c>
      <c r="H174" s="475" t="s">
        <v>82</v>
      </c>
      <c r="I174" s="19" t="s">
        <v>14</v>
      </c>
      <c r="J174" s="48">
        <f>K174+M174</f>
        <v>4</v>
      </c>
      <c r="K174" s="49">
        <v>4</v>
      </c>
      <c r="L174" s="12"/>
      <c r="M174" s="36"/>
      <c r="N174" s="44">
        <f>O174+Q174</f>
        <v>20</v>
      </c>
      <c r="O174" s="12">
        <v>20</v>
      </c>
      <c r="P174" s="12"/>
      <c r="Q174" s="36"/>
      <c r="R174" s="114">
        <f>S174+U174</f>
        <v>0</v>
      </c>
      <c r="S174" s="115"/>
      <c r="T174" s="115"/>
      <c r="U174" s="127"/>
      <c r="V174" s="225">
        <v>20</v>
      </c>
      <c r="W174" s="225">
        <v>20</v>
      </c>
      <c r="X174" s="73"/>
      <c r="Z174" s="10"/>
    </row>
    <row r="175" spans="1:26" ht="15.75" customHeight="1">
      <c r="A175" s="440"/>
      <c r="B175" s="441"/>
      <c r="C175" s="436"/>
      <c r="D175" s="465"/>
      <c r="E175" s="409"/>
      <c r="F175" s="463"/>
      <c r="G175" s="332"/>
      <c r="H175" s="476"/>
      <c r="I175" s="22" t="s">
        <v>153</v>
      </c>
      <c r="J175" s="44"/>
      <c r="K175" s="45"/>
      <c r="L175" s="45"/>
      <c r="M175" s="53"/>
      <c r="N175" s="44">
        <f>O175+Q175</f>
        <v>0</v>
      </c>
      <c r="O175" s="45"/>
      <c r="P175" s="45"/>
      <c r="Q175" s="53"/>
      <c r="R175" s="129"/>
      <c r="S175" s="130"/>
      <c r="T175" s="130"/>
      <c r="U175" s="132"/>
      <c r="V175" s="232"/>
      <c r="W175" s="232"/>
      <c r="X175" s="73"/>
      <c r="Z175" s="10"/>
    </row>
    <row r="176" spans="1:26" ht="18" customHeight="1" thickBot="1">
      <c r="A176" s="345"/>
      <c r="B176" s="347"/>
      <c r="C176" s="341"/>
      <c r="D176" s="466"/>
      <c r="E176" s="336"/>
      <c r="F176" s="361"/>
      <c r="G176" s="333"/>
      <c r="H176" s="477"/>
      <c r="I176" s="107" t="s">
        <v>15</v>
      </c>
      <c r="J176" s="108">
        <f>J175+J174</f>
        <v>4</v>
      </c>
      <c r="K176" s="109">
        <f>K175+K174</f>
        <v>4</v>
      </c>
      <c r="L176" s="109"/>
      <c r="M176" s="112"/>
      <c r="N176" s="108">
        <f>N175+N174</f>
        <v>20</v>
      </c>
      <c r="O176" s="109">
        <f>O175+O174</f>
        <v>20</v>
      </c>
      <c r="P176" s="109"/>
      <c r="Q176" s="112"/>
      <c r="R176" s="108">
        <f>S176+U176</f>
        <v>0</v>
      </c>
      <c r="S176" s="109">
        <f>S174</f>
        <v>0</v>
      </c>
      <c r="T176" s="109"/>
      <c r="U176" s="112">
        <f>SUM(U174:U175)</f>
        <v>0</v>
      </c>
      <c r="V176" s="224">
        <f>V175+V174</f>
        <v>20</v>
      </c>
      <c r="W176" s="224">
        <f>W175+W174</f>
        <v>20</v>
      </c>
      <c r="X176" s="73"/>
      <c r="Z176" s="10"/>
    </row>
    <row r="177" spans="1:26" ht="14.25" customHeight="1">
      <c r="A177" s="344" t="s">
        <v>11</v>
      </c>
      <c r="B177" s="346" t="s">
        <v>17</v>
      </c>
      <c r="C177" s="340" t="s">
        <v>24</v>
      </c>
      <c r="D177" s="464" t="s">
        <v>72</v>
      </c>
      <c r="E177" s="334"/>
      <c r="F177" s="359"/>
      <c r="G177" s="331" t="s">
        <v>81</v>
      </c>
      <c r="H177" s="475" t="s">
        <v>82</v>
      </c>
      <c r="I177" s="19" t="s">
        <v>14</v>
      </c>
      <c r="J177" s="48">
        <f>K177</f>
        <v>4</v>
      </c>
      <c r="K177" s="49">
        <v>4</v>
      </c>
      <c r="L177" s="12"/>
      <c r="M177" s="36"/>
      <c r="N177" s="44">
        <f>O177+Q177</f>
        <v>30</v>
      </c>
      <c r="O177" s="12">
        <v>30</v>
      </c>
      <c r="P177" s="12"/>
      <c r="Q177" s="13"/>
      <c r="R177" s="114">
        <f>S177+U177</f>
        <v>0</v>
      </c>
      <c r="S177" s="115"/>
      <c r="T177" s="115"/>
      <c r="U177" s="127"/>
      <c r="V177" s="225">
        <v>20</v>
      </c>
      <c r="W177" s="225">
        <v>20</v>
      </c>
      <c r="X177" s="73"/>
      <c r="Z177" s="10"/>
    </row>
    <row r="178" spans="1:26" ht="9.75" customHeight="1">
      <c r="A178" s="440"/>
      <c r="B178" s="441"/>
      <c r="C178" s="436"/>
      <c r="D178" s="465"/>
      <c r="E178" s="409"/>
      <c r="F178" s="463"/>
      <c r="G178" s="332"/>
      <c r="H178" s="476"/>
      <c r="I178" s="22"/>
      <c r="J178" s="44"/>
      <c r="K178" s="45"/>
      <c r="L178" s="45"/>
      <c r="M178" s="53"/>
      <c r="N178" s="151"/>
      <c r="O178" s="149"/>
      <c r="P178" s="149"/>
      <c r="Q178" s="150"/>
      <c r="R178" s="129"/>
      <c r="S178" s="130"/>
      <c r="T178" s="130"/>
      <c r="U178" s="132"/>
      <c r="V178" s="232"/>
      <c r="W178" s="232"/>
      <c r="X178" s="73"/>
      <c r="Z178" s="10"/>
    </row>
    <row r="179" spans="1:26" ht="14.25" customHeight="1" thickBot="1">
      <c r="A179" s="345"/>
      <c r="B179" s="347"/>
      <c r="C179" s="341"/>
      <c r="D179" s="466"/>
      <c r="E179" s="336"/>
      <c r="F179" s="361"/>
      <c r="G179" s="333"/>
      <c r="H179" s="477"/>
      <c r="I179" s="107" t="s">
        <v>15</v>
      </c>
      <c r="J179" s="108">
        <f>K179+M179</f>
        <v>4</v>
      </c>
      <c r="K179" s="109">
        <f>K178+K177</f>
        <v>4</v>
      </c>
      <c r="L179" s="109"/>
      <c r="M179" s="112">
        <f>SUM(M177:M178)</f>
        <v>0</v>
      </c>
      <c r="N179" s="108">
        <f>O179+Q179</f>
        <v>30</v>
      </c>
      <c r="O179" s="109">
        <f>O178+O177</f>
        <v>30</v>
      </c>
      <c r="P179" s="109"/>
      <c r="Q179" s="110">
        <f>SUM(Q177:Q178)</f>
        <v>0</v>
      </c>
      <c r="R179" s="108">
        <f>S179+U179</f>
        <v>0</v>
      </c>
      <c r="S179" s="109">
        <f>SUM(S177:S178)</f>
        <v>0</v>
      </c>
      <c r="T179" s="109"/>
      <c r="U179" s="112">
        <f>SUM(U177:U178)</f>
        <v>0</v>
      </c>
      <c r="V179" s="224">
        <f>V178+V177</f>
        <v>20</v>
      </c>
      <c r="W179" s="224">
        <f>W178+W177</f>
        <v>20</v>
      </c>
      <c r="X179" s="9"/>
      <c r="Z179" s="10"/>
    </row>
    <row r="180" spans="1:23" ht="14.25" customHeight="1">
      <c r="A180" s="344" t="s">
        <v>11</v>
      </c>
      <c r="B180" s="346" t="s">
        <v>17</v>
      </c>
      <c r="C180" s="340" t="s">
        <v>17</v>
      </c>
      <c r="D180" s="464" t="s">
        <v>78</v>
      </c>
      <c r="E180" s="334"/>
      <c r="F180" s="359"/>
      <c r="G180" s="331" t="s">
        <v>81</v>
      </c>
      <c r="H180" s="475" t="s">
        <v>82</v>
      </c>
      <c r="I180" s="19" t="s">
        <v>14</v>
      </c>
      <c r="J180" s="147"/>
      <c r="K180" s="12"/>
      <c r="L180" s="12"/>
      <c r="M180" s="13"/>
      <c r="N180" s="44">
        <f>O180+Q180</f>
        <v>45</v>
      </c>
      <c r="O180" s="45">
        <v>45</v>
      </c>
      <c r="P180" s="45"/>
      <c r="Q180" s="46"/>
      <c r="R180" s="114">
        <f>S180+U180</f>
        <v>0</v>
      </c>
      <c r="S180" s="115"/>
      <c r="T180" s="115"/>
      <c r="U180" s="127"/>
      <c r="V180" s="225">
        <v>50</v>
      </c>
      <c r="W180" s="225">
        <v>50</v>
      </c>
    </row>
    <row r="181" spans="1:23" ht="11.25" customHeight="1">
      <c r="A181" s="367"/>
      <c r="B181" s="369"/>
      <c r="C181" s="371"/>
      <c r="D181" s="540"/>
      <c r="E181" s="335"/>
      <c r="F181" s="360"/>
      <c r="G181" s="332"/>
      <c r="H181" s="515"/>
      <c r="I181" s="20"/>
      <c r="J181" s="148"/>
      <c r="K181" s="149"/>
      <c r="L181" s="149"/>
      <c r="M181" s="150"/>
      <c r="N181" s="151"/>
      <c r="O181" s="149"/>
      <c r="P181" s="149"/>
      <c r="Q181" s="150"/>
      <c r="R181" s="117"/>
      <c r="S181" s="118"/>
      <c r="T181" s="118"/>
      <c r="U181" s="152"/>
      <c r="V181" s="226"/>
      <c r="W181" s="226"/>
    </row>
    <row r="182" spans="1:26" ht="14.25" customHeight="1" thickBot="1">
      <c r="A182" s="345"/>
      <c r="B182" s="347"/>
      <c r="C182" s="341"/>
      <c r="D182" s="466"/>
      <c r="E182" s="336"/>
      <c r="F182" s="361"/>
      <c r="G182" s="333"/>
      <c r="H182" s="477"/>
      <c r="I182" s="107" t="s">
        <v>15</v>
      </c>
      <c r="J182" s="111"/>
      <c r="K182" s="109"/>
      <c r="L182" s="109"/>
      <c r="M182" s="110"/>
      <c r="N182" s="108">
        <f>O182+Q182</f>
        <v>45</v>
      </c>
      <c r="O182" s="109">
        <f>O180</f>
        <v>45</v>
      </c>
      <c r="P182" s="109"/>
      <c r="Q182" s="110"/>
      <c r="R182" s="108">
        <f>S182+U182</f>
        <v>0</v>
      </c>
      <c r="S182" s="109">
        <f>S180</f>
        <v>0</v>
      </c>
      <c r="T182" s="109"/>
      <c r="U182" s="112"/>
      <c r="V182" s="224">
        <f>V181+V180</f>
        <v>50</v>
      </c>
      <c r="W182" s="224">
        <f>W181+W180</f>
        <v>50</v>
      </c>
      <c r="X182" s="9"/>
      <c r="Z182" s="10"/>
    </row>
    <row r="183" spans="1:23" ht="13.5" customHeight="1" thickBot="1">
      <c r="A183" s="66" t="s">
        <v>11</v>
      </c>
      <c r="B183" s="67" t="s">
        <v>17</v>
      </c>
      <c r="C183" s="467" t="s">
        <v>23</v>
      </c>
      <c r="D183" s="338"/>
      <c r="E183" s="338"/>
      <c r="F183" s="338"/>
      <c r="G183" s="338"/>
      <c r="H183" s="338"/>
      <c r="I183" s="339"/>
      <c r="J183" s="51">
        <f>K183+M183</f>
        <v>8</v>
      </c>
      <c r="K183" s="52">
        <f>K182+K179+K176</f>
        <v>8</v>
      </c>
      <c r="L183" s="52">
        <f>L182+L179+L176</f>
        <v>0</v>
      </c>
      <c r="M183" s="52">
        <f>M182+M179+M176</f>
        <v>0</v>
      </c>
      <c r="N183" s="51">
        <f>O183+Q183</f>
        <v>95</v>
      </c>
      <c r="O183" s="52">
        <f>O182+O179+O176</f>
        <v>95</v>
      </c>
      <c r="P183" s="52">
        <f>P182+P179+P176</f>
        <v>0</v>
      </c>
      <c r="Q183" s="52">
        <f>Q182+Q179+Q176</f>
        <v>0</v>
      </c>
      <c r="R183" s="51">
        <f>S183+U183</f>
        <v>0</v>
      </c>
      <c r="S183" s="52">
        <f>S182+S179+S176</f>
        <v>0</v>
      </c>
      <c r="T183" s="52">
        <f>T182+T179+T176</f>
        <v>0</v>
      </c>
      <c r="U183" s="78">
        <f>U182+U179+U176</f>
        <v>0</v>
      </c>
      <c r="V183" s="238">
        <f>V182+V179+V176</f>
        <v>90</v>
      </c>
      <c r="W183" s="238">
        <f>W182+W179+W176</f>
        <v>90</v>
      </c>
    </row>
    <row r="184" spans="1:23" ht="14.25" customHeight="1" thickBot="1">
      <c r="A184" s="66" t="s">
        <v>11</v>
      </c>
      <c r="B184" s="468" t="s">
        <v>29</v>
      </c>
      <c r="C184" s="469"/>
      <c r="D184" s="469"/>
      <c r="E184" s="469"/>
      <c r="F184" s="469"/>
      <c r="G184" s="469"/>
      <c r="H184" s="469"/>
      <c r="I184" s="470"/>
      <c r="J184" s="54">
        <f>M184+K184</f>
        <v>11118.8</v>
      </c>
      <c r="K184" s="55">
        <f>K183+K172+K155+K139</f>
        <v>10902.4</v>
      </c>
      <c r="L184" s="55">
        <f>L183+L172+L155+L139</f>
        <v>6725.999999999999</v>
      </c>
      <c r="M184" s="76">
        <f>M183+M172+M155+M139</f>
        <v>216.39999999999998</v>
      </c>
      <c r="N184" s="54">
        <f>Q184+O184</f>
        <v>13216.400000000001</v>
      </c>
      <c r="O184" s="55">
        <f>O183+O172+O155+O139</f>
        <v>12842.500000000002</v>
      </c>
      <c r="P184" s="55">
        <f>P183+P172+P155+P139</f>
        <v>7114.900000000001</v>
      </c>
      <c r="Q184" s="76">
        <f>Q183+Q172+Q155+Q139</f>
        <v>373.9</v>
      </c>
      <c r="R184" s="54">
        <f>U184+S184</f>
        <v>0</v>
      </c>
      <c r="S184" s="55">
        <f>S183+S172+S155+S139</f>
        <v>0</v>
      </c>
      <c r="T184" s="55">
        <f>T183+T172+T155+T139</f>
        <v>0</v>
      </c>
      <c r="U184" s="55">
        <f>U183+U172+U155+U139</f>
        <v>0</v>
      </c>
      <c r="V184" s="244">
        <f>V183+V172+V155+V139</f>
        <v>13325.5</v>
      </c>
      <c r="W184" s="244">
        <f>W183+W172+W155+W139</f>
        <v>13433</v>
      </c>
    </row>
    <row r="185" spans="1:23" ht="14.25" customHeight="1" thickBot="1">
      <c r="A185" s="94" t="s">
        <v>22</v>
      </c>
      <c r="B185" s="471" t="s">
        <v>30</v>
      </c>
      <c r="C185" s="472"/>
      <c r="D185" s="472"/>
      <c r="E185" s="472"/>
      <c r="F185" s="472"/>
      <c r="G185" s="472"/>
      <c r="H185" s="472"/>
      <c r="I185" s="473"/>
      <c r="J185" s="88">
        <f>K185+M185</f>
        <v>11118.8</v>
      </c>
      <c r="K185" s="89">
        <f>K184</f>
        <v>10902.4</v>
      </c>
      <c r="L185" s="89">
        <f>L184</f>
        <v>6725.999999999999</v>
      </c>
      <c r="M185" s="90">
        <f>M184</f>
        <v>216.39999999999998</v>
      </c>
      <c r="N185" s="88">
        <f>O185+Q185</f>
        <v>13216.400000000001</v>
      </c>
      <c r="O185" s="89">
        <f>O184</f>
        <v>12842.500000000002</v>
      </c>
      <c r="P185" s="89">
        <f>P184</f>
        <v>7114.900000000001</v>
      </c>
      <c r="Q185" s="90">
        <f>Q184</f>
        <v>373.9</v>
      </c>
      <c r="R185" s="88">
        <f>S185+U185</f>
        <v>0</v>
      </c>
      <c r="S185" s="89">
        <f>S184</f>
        <v>0</v>
      </c>
      <c r="T185" s="89">
        <f>T184</f>
        <v>0</v>
      </c>
      <c r="U185" s="91">
        <f>U184</f>
        <v>0</v>
      </c>
      <c r="V185" s="245">
        <f>V184</f>
        <v>13325.5</v>
      </c>
      <c r="W185" s="245">
        <f>W184</f>
        <v>13433</v>
      </c>
    </row>
    <row r="186" spans="1:23" s="9" customFormat="1" ht="22.5" customHeight="1">
      <c r="A186" s="38"/>
      <c r="B186" s="39"/>
      <c r="C186" s="39"/>
      <c r="D186" s="39"/>
      <c r="E186" s="39"/>
      <c r="F186" s="39"/>
      <c r="G186" s="39"/>
      <c r="H186" s="39"/>
      <c r="I186" s="3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208"/>
      <c r="W186" s="208"/>
    </row>
    <row r="187" spans="1:45" s="24" customFormat="1" ht="19.5" customHeight="1" thickBot="1">
      <c r="A187" s="474" t="s">
        <v>50</v>
      </c>
      <c r="B187" s="474"/>
      <c r="C187" s="474"/>
      <c r="D187" s="474"/>
      <c r="E187" s="474"/>
      <c r="F187" s="474"/>
      <c r="G187" s="474"/>
      <c r="H187" s="474"/>
      <c r="I187" s="474"/>
      <c r="J187" s="474"/>
      <c r="K187" s="474"/>
      <c r="L187" s="474"/>
      <c r="M187" s="474"/>
      <c r="N187" s="474"/>
      <c r="O187" s="474"/>
      <c r="P187" s="474"/>
      <c r="Q187" s="474"/>
      <c r="R187" s="474"/>
      <c r="S187" s="486" t="s">
        <v>134</v>
      </c>
      <c r="T187" s="486"/>
      <c r="U187" s="40"/>
      <c r="V187" s="209"/>
      <c r="W187" s="209"/>
      <c r="X187" s="57"/>
      <c r="Y187" s="57"/>
      <c r="Z187" s="57"/>
      <c r="AA187" s="57"/>
      <c r="AB187" s="57"/>
      <c r="AC187" s="57"/>
      <c r="AD187" s="57"/>
      <c r="AE187" s="57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</row>
    <row r="188" spans="1:23" ht="26.25" customHeight="1" thickBot="1">
      <c r="A188" s="478" t="s">
        <v>31</v>
      </c>
      <c r="B188" s="479"/>
      <c r="C188" s="479"/>
      <c r="D188" s="479"/>
      <c r="E188" s="479"/>
      <c r="F188" s="479"/>
      <c r="G188" s="480" t="s">
        <v>182</v>
      </c>
      <c r="H188" s="481"/>
      <c r="I188" s="482"/>
      <c r="J188" s="480" t="s">
        <v>179</v>
      </c>
      <c r="K188" s="481"/>
      <c r="L188" s="482"/>
      <c r="M188" s="480" t="s">
        <v>183</v>
      </c>
      <c r="N188" s="481"/>
      <c r="O188" s="482"/>
      <c r="P188" s="480" t="s">
        <v>168</v>
      </c>
      <c r="Q188" s="481"/>
      <c r="R188" s="481"/>
      <c r="S188" s="487" t="s">
        <v>181</v>
      </c>
      <c r="T188" s="488"/>
      <c r="U188" s="489"/>
      <c r="V188" s="210"/>
      <c r="W188" s="158"/>
    </row>
    <row r="189" spans="1:23" ht="13.5" customHeight="1" thickBot="1">
      <c r="A189" s="522" t="s">
        <v>32</v>
      </c>
      <c r="B189" s="523"/>
      <c r="C189" s="523"/>
      <c r="D189" s="523"/>
      <c r="E189" s="523"/>
      <c r="F189" s="524"/>
      <c r="G189" s="483">
        <f>G190+G195+G191+G192+G194+G193</f>
        <v>10699.8</v>
      </c>
      <c r="H189" s="484"/>
      <c r="I189" s="485"/>
      <c r="J189" s="483">
        <f>J190+J195+J191+J192+J194+J193</f>
        <v>12775.8</v>
      </c>
      <c r="K189" s="484"/>
      <c r="L189" s="485"/>
      <c r="M189" s="483">
        <f>M190+M195+M191+M192+M194+M193</f>
        <v>0</v>
      </c>
      <c r="N189" s="484"/>
      <c r="O189" s="485"/>
      <c r="P189" s="483">
        <f>P190+P195+P191+P192+P194+P193</f>
        <v>12715.2</v>
      </c>
      <c r="Q189" s="484"/>
      <c r="R189" s="485"/>
      <c r="S189" s="483">
        <f>S190+S195+S191+S192+S194+S193</f>
        <v>13116.2</v>
      </c>
      <c r="T189" s="484"/>
      <c r="U189" s="485"/>
      <c r="V189" s="210"/>
      <c r="W189" s="158"/>
    </row>
    <row r="190" spans="1:23" ht="12" customHeight="1">
      <c r="A190" s="538" t="s">
        <v>33</v>
      </c>
      <c r="B190" s="539"/>
      <c r="C190" s="539"/>
      <c r="D190" s="539"/>
      <c r="E190" s="539"/>
      <c r="F190" s="539"/>
      <c r="G190" s="305">
        <f>SUMIF(I16:I185,"SB",J16:J185)</f>
        <v>4747.799999999999</v>
      </c>
      <c r="H190" s="306"/>
      <c r="I190" s="307"/>
      <c r="J190" s="305">
        <f>SUMIF(I16:I185,"SB",N16:N185)</f>
        <v>6713.199999999999</v>
      </c>
      <c r="K190" s="306"/>
      <c r="L190" s="307"/>
      <c r="M190" s="551">
        <f>SUMIF(I6:I185,"SB",R6:R185)</f>
        <v>0</v>
      </c>
      <c r="N190" s="552"/>
      <c r="O190" s="553"/>
      <c r="P190" s="305">
        <f>SUMIF(I16:I185,"SB",V16:V185)</f>
        <v>6425</v>
      </c>
      <c r="Q190" s="306"/>
      <c r="R190" s="306"/>
      <c r="S190" s="490">
        <f>SUMIF(I16:I185,"SB",W16:W185)</f>
        <v>6680</v>
      </c>
      <c r="T190" s="491"/>
      <c r="U190" s="492"/>
      <c r="W190" s="158"/>
    </row>
    <row r="191" spans="1:24" ht="17.25" customHeight="1">
      <c r="A191" s="495" t="s">
        <v>127</v>
      </c>
      <c r="B191" s="496"/>
      <c r="C191" s="496"/>
      <c r="D191" s="496"/>
      <c r="E191" s="496"/>
      <c r="F191" s="497"/>
      <c r="G191" s="268">
        <f>SUMIF(I16:I185,"SB(SP)",J16:J185)</f>
        <v>263.20000000000005</v>
      </c>
      <c r="H191" s="269"/>
      <c r="I191" s="270"/>
      <c r="J191" s="268">
        <f>SUMIF(I16:I185,"SB(SP)",N16:N185)</f>
        <v>279.79999999999995</v>
      </c>
      <c r="K191" s="269"/>
      <c r="L191" s="270"/>
      <c r="M191" s="554">
        <f>SUMIF(I6:I185,"SB(SP)",R6:R185)</f>
        <v>0</v>
      </c>
      <c r="N191" s="555"/>
      <c r="O191" s="556"/>
      <c r="P191" s="268">
        <f>SUMIF(I16:I185,"SB(SP)",V16:V185)</f>
        <v>272.3</v>
      </c>
      <c r="Q191" s="269"/>
      <c r="R191" s="269"/>
      <c r="S191" s="265">
        <f>SUMIF(I16:I185,"SB(SP)",W16:W185)</f>
        <v>272.3</v>
      </c>
      <c r="T191" s="266"/>
      <c r="U191" s="267"/>
      <c r="V191" s="210"/>
      <c r="W191" s="158"/>
      <c r="X191" s="25"/>
    </row>
    <row r="192" spans="1:24" ht="16.5" customHeight="1">
      <c r="A192" s="493" t="s">
        <v>125</v>
      </c>
      <c r="B192" s="494"/>
      <c r="C192" s="494"/>
      <c r="D192" s="494"/>
      <c r="E192" s="494"/>
      <c r="F192" s="494"/>
      <c r="G192" s="268">
        <f>SUMIF(I16:I185,"SB(SPN)",J16:J185)</f>
        <v>12.899999999999999</v>
      </c>
      <c r="H192" s="269"/>
      <c r="I192" s="270"/>
      <c r="J192" s="268">
        <f>SUMIF(I16:I185,"SB(SPN)",N16:N185)</f>
        <v>11.9</v>
      </c>
      <c r="K192" s="269"/>
      <c r="L192" s="270"/>
      <c r="M192" s="554">
        <f>SUMIF(I7:I186,"SB(SPN)",R7:R186)</f>
        <v>0</v>
      </c>
      <c r="N192" s="555"/>
      <c r="O192" s="556"/>
      <c r="P192" s="268">
        <f>SUMIF(I16:I185,"SB(SPN)",V16:V185)</f>
        <v>6.9</v>
      </c>
      <c r="Q192" s="269"/>
      <c r="R192" s="269"/>
      <c r="S192" s="265">
        <f>SUMIF(I16:I185,"SB(SPN)",W16:W185)</f>
        <v>6.9</v>
      </c>
      <c r="T192" s="266"/>
      <c r="U192" s="267"/>
      <c r="W192" s="158"/>
      <c r="X192" s="25"/>
    </row>
    <row r="193" spans="1:24" ht="23.25" customHeight="1">
      <c r="A193" s="493" t="s">
        <v>136</v>
      </c>
      <c r="B193" s="494"/>
      <c r="C193" s="494"/>
      <c r="D193" s="494"/>
      <c r="E193" s="494"/>
      <c r="F193" s="494"/>
      <c r="G193" s="268">
        <f>SUMIF(I17:I186,"SB(VD)",J17:J186)</f>
        <v>14</v>
      </c>
      <c r="H193" s="269"/>
      <c r="I193" s="270"/>
      <c r="J193" s="268">
        <f>SUMIF(I17:I186,"SB(VD)",N17:N186)</f>
        <v>15.6</v>
      </c>
      <c r="K193" s="269"/>
      <c r="L193" s="270"/>
      <c r="M193" s="554">
        <f>SUMIF(I7:I186,"SB(VD)",R7:R186)</f>
        <v>0</v>
      </c>
      <c r="N193" s="555"/>
      <c r="O193" s="556"/>
      <c r="P193" s="268">
        <f>SUMIF(I17:I186,"SB(VD)",V17:V186)</f>
        <v>16</v>
      </c>
      <c r="Q193" s="269"/>
      <c r="R193" s="269"/>
      <c r="S193" s="265">
        <f>SUMIF(I17:I186,"SB(VD)",W17:W186)</f>
        <v>16</v>
      </c>
      <c r="T193" s="266"/>
      <c r="U193" s="267"/>
      <c r="W193" s="158"/>
      <c r="X193" s="25"/>
    </row>
    <row r="194" spans="1:23" ht="16.5" customHeight="1" thickBot="1">
      <c r="A194" s="493" t="s">
        <v>74</v>
      </c>
      <c r="B194" s="494"/>
      <c r="C194" s="494"/>
      <c r="D194" s="494"/>
      <c r="E194" s="494"/>
      <c r="F194" s="494"/>
      <c r="G194" s="268">
        <f>SUMIF(I16:I185,"SB(MK)",J16:J185)</f>
        <v>5661.9</v>
      </c>
      <c r="H194" s="269"/>
      <c r="I194" s="270"/>
      <c r="J194" s="268">
        <f>SUMIF(I16:I185,"SB(MK)",N16:N185)</f>
        <v>5755.3</v>
      </c>
      <c r="K194" s="269"/>
      <c r="L194" s="270"/>
      <c r="M194" s="554">
        <f>SUMIF(I6:I185,"SB(MK)",R6:R185)</f>
        <v>0</v>
      </c>
      <c r="N194" s="555"/>
      <c r="O194" s="556"/>
      <c r="P194" s="268">
        <f>SUMIF(I16:I185,"SB(MK)",V16:V185)</f>
        <v>5995</v>
      </c>
      <c r="Q194" s="269"/>
      <c r="R194" s="269"/>
      <c r="S194" s="265">
        <f>SUMIF(I16:I185,"SB(MK)",W16:W185)</f>
        <v>6141</v>
      </c>
      <c r="T194" s="266"/>
      <c r="U194" s="267"/>
      <c r="V194" s="210"/>
      <c r="W194" s="158"/>
    </row>
    <row r="195" spans="1:23" ht="26.25" customHeight="1" hidden="1" thickBot="1">
      <c r="A195" s="493" t="s">
        <v>132</v>
      </c>
      <c r="B195" s="494"/>
      <c r="C195" s="494"/>
      <c r="D195" s="494"/>
      <c r="E195" s="494"/>
      <c r="F195" s="494"/>
      <c r="G195" s="268">
        <f>SUMIF(I6:I185,"SB(VIP)",J6:J185)</f>
        <v>0</v>
      </c>
      <c r="H195" s="269"/>
      <c r="I195" s="270"/>
      <c r="J195" s="268">
        <f>SUMIF(I6:I185,"SB(VIP)",N6:N185)</f>
        <v>0</v>
      </c>
      <c r="K195" s="269"/>
      <c r="L195" s="270"/>
      <c r="M195" s="268">
        <f>SUMIF(I6:I185,"SB(VIP)",R6:R185)</f>
        <v>0</v>
      </c>
      <c r="N195" s="269"/>
      <c r="O195" s="270"/>
      <c r="P195" s="268">
        <f>SUMIF(I6:I185,"SB(VIP)",V6:V185)</f>
        <v>0</v>
      </c>
      <c r="Q195" s="269"/>
      <c r="R195" s="269"/>
      <c r="S195" s="265">
        <f>SUMIF(I6:I185,"SB(VIP)",W6:W185)</f>
        <v>0</v>
      </c>
      <c r="T195" s="266"/>
      <c r="U195" s="267"/>
      <c r="V195" s="210"/>
      <c r="W195" s="158"/>
    </row>
    <row r="196" spans="1:23" ht="15" customHeight="1" thickBot="1">
      <c r="A196" s="522" t="s">
        <v>35</v>
      </c>
      <c r="B196" s="523"/>
      <c r="C196" s="523"/>
      <c r="D196" s="523"/>
      <c r="E196" s="523"/>
      <c r="F196" s="524"/>
      <c r="G196" s="483">
        <f>G197+G198+G199+G200+G201+G202+G203</f>
        <v>418.99999999999994</v>
      </c>
      <c r="H196" s="484"/>
      <c r="I196" s="485"/>
      <c r="J196" s="483">
        <f>J197+J198+J199+J200+J201+J202+J203</f>
        <v>730.6</v>
      </c>
      <c r="K196" s="484"/>
      <c r="L196" s="485"/>
      <c r="M196" s="483">
        <f>M197+M198+M199+M200+M201+M202+M203</f>
        <v>0</v>
      </c>
      <c r="N196" s="484"/>
      <c r="O196" s="485"/>
      <c r="P196" s="483">
        <f>P197+P198+P199+P200+P201+P202+P203</f>
        <v>610.3</v>
      </c>
      <c r="Q196" s="484"/>
      <c r="R196" s="485"/>
      <c r="S196" s="483">
        <f>S197+S198+S199+S200+S201+S202+S203</f>
        <v>316.8</v>
      </c>
      <c r="T196" s="484"/>
      <c r="U196" s="485"/>
      <c r="W196" s="158"/>
    </row>
    <row r="197" spans="1:23" ht="15" customHeight="1" hidden="1">
      <c r="A197" s="527" t="s">
        <v>135</v>
      </c>
      <c r="B197" s="528"/>
      <c r="C197" s="528"/>
      <c r="D197" s="528"/>
      <c r="E197" s="528"/>
      <c r="F197" s="529"/>
      <c r="G197" s="516"/>
      <c r="H197" s="517"/>
      <c r="I197" s="518"/>
      <c r="J197" s="285"/>
      <c r="K197" s="286"/>
      <c r="L197" s="287"/>
      <c r="M197" s="285"/>
      <c r="N197" s="286"/>
      <c r="O197" s="287"/>
      <c r="P197" s="285"/>
      <c r="Q197" s="286"/>
      <c r="R197" s="287"/>
      <c r="S197" s="271"/>
      <c r="T197" s="272"/>
      <c r="U197" s="273"/>
      <c r="W197" s="158"/>
    </row>
    <row r="198" spans="1:23" ht="15" customHeight="1" hidden="1">
      <c r="A198" s="530" t="s">
        <v>34</v>
      </c>
      <c r="B198" s="531"/>
      <c r="C198" s="531"/>
      <c r="D198" s="531"/>
      <c r="E198" s="531"/>
      <c r="F198" s="531"/>
      <c r="G198" s="282"/>
      <c r="H198" s="283"/>
      <c r="I198" s="284"/>
      <c r="J198" s="288"/>
      <c r="K198" s="289"/>
      <c r="L198" s="290"/>
      <c r="M198" s="288"/>
      <c r="N198" s="289"/>
      <c r="O198" s="290"/>
      <c r="P198" s="288"/>
      <c r="Q198" s="289"/>
      <c r="R198" s="290"/>
      <c r="S198" s="274"/>
      <c r="T198" s="275"/>
      <c r="U198" s="276"/>
      <c r="W198" s="158"/>
    </row>
    <row r="199" spans="1:23" ht="15" customHeight="1">
      <c r="A199" s="525" t="s">
        <v>36</v>
      </c>
      <c r="B199" s="526"/>
      <c r="C199" s="526"/>
      <c r="D199" s="526"/>
      <c r="E199" s="526"/>
      <c r="F199" s="526"/>
      <c r="G199" s="277">
        <f>SUMIF(I16:I185,"ES",J16:J185)</f>
        <v>26</v>
      </c>
      <c r="H199" s="278"/>
      <c r="I199" s="291"/>
      <c r="J199" s="277">
        <f>SUMIF(I16:I185,"ES",N16:N185)</f>
        <v>396.2</v>
      </c>
      <c r="K199" s="278"/>
      <c r="L199" s="291"/>
      <c r="M199" s="557">
        <f>SUMIF(I6:I185,"ES",R6:R185)</f>
        <v>0</v>
      </c>
      <c r="N199" s="558"/>
      <c r="O199" s="559"/>
      <c r="P199" s="277">
        <f>SUMIF(I16:I185,"ES",V16:V185)</f>
        <v>552.5</v>
      </c>
      <c r="Q199" s="278"/>
      <c r="R199" s="278"/>
      <c r="S199" s="490">
        <f>SUMIF(I16:I185,"ES",W16:W185)</f>
        <v>296.8</v>
      </c>
      <c r="T199" s="491"/>
      <c r="U199" s="492"/>
      <c r="W199" s="158"/>
    </row>
    <row r="200" spans="1:23" ht="15" customHeight="1">
      <c r="A200" s="509" t="s">
        <v>37</v>
      </c>
      <c r="B200" s="510"/>
      <c r="C200" s="510"/>
      <c r="D200" s="510"/>
      <c r="E200" s="510"/>
      <c r="F200" s="510"/>
      <c r="G200" s="268">
        <f>SUMIF(I6:I354,"KPP",J6:J354)</f>
        <v>0</v>
      </c>
      <c r="H200" s="269"/>
      <c r="I200" s="270"/>
      <c r="J200" s="268">
        <f>SUMIF(I6:I185,"KPP",N6:N185)</f>
        <v>0</v>
      </c>
      <c r="K200" s="269"/>
      <c r="L200" s="270"/>
      <c r="M200" s="554">
        <f>SUMIF(I6:I185,"KPP",R6:R185)</f>
        <v>0</v>
      </c>
      <c r="N200" s="555"/>
      <c r="O200" s="556"/>
      <c r="P200" s="268">
        <f>SUMIF(I6:I185,"KPP",V6:V185)</f>
        <v>0</v>
      </c>
      <c r="Q200" s="269"/>
      <c r="R200" s="269"/>
      <c r="S200" s="265">
        <f>SUMIF(I6:I185,"KPP",W6:W185)</f>
        <v>0</v>
      </c>
      <c r="T200" s="266"/>
      <c r="U200" s="267"/>
      <c r="W200" s="158"/>
    </row>
    <row r="201" spans="1:23" ht="15" customHeight="1">
      <c r="A201" s="493" t="s">
        <v>38</v>
      </c>
      <c r="B201" s="494"/>
      <c r="C201" s="494"/>
      <c r="D201" s="494"/>
      <c r="E201" s="494"/>
      <c r="F201" s="511"/>
      <c r="G201" s="268">
        <f>SUMIF(I6:I185,"LRVB",J6:J185)</f>
        <v>368.79999999999995</v>
      </c>
      <c r="H201" s="269"/>
      <c r="I201" s="270"/>
      <c r="J201" s="268">
        <f>SUMIF(I16:I185,"LRVB",N16:N185)</f>
        <v>300.7</v>
      </c>
      <c r="K201" s="269"/>
      <c r="L201" s="270"/>
      <c r="M201" s="554">
        <f>SUMIF(I6:I185,"LRVB",R6:R185)</f>
        <v>0</v>
      </c>
      <c r="N201" s="555"/>
      <c r="O201" s="556"/>
      <c r="P201" s="268">
        <f>SUMIF(I6:I185,"LRVB",V6:V185)</f>
        <v>17.8</v>
      </c>
      <c r="Q201" s="269"/>
      <c r="R201" s="270"/>
      <c r="S201" s="279">
        <f>SUMIF(I6:I185,"LRVB",W6:W185)</f>
        <v>10</v>
      </c>
      <c r="T201" s="280"/>
      <c r="U201" s="281"/>
      <c r="W201" s="158"/>
    </row>
    <row r="202" spans="1:23" ht="15" customHeight="1">
      <c r="A202" s="493" t="s">
        <v>155</v>
      </c>
      <c r="B202" s="494"/>
      <c r="C202" s="494"/>
      <c r="D202" s="494"/>
      <c r="E202" s="494"/>
      <c r="F202" s="494"/>
      <c r="G202" s="268">
        <f>SUMIF(I16:I185,"SB(P)",J16:J185)</f>
        <v>24.2</v>
      </c>
      <c r="H202" s="269"/>
      <c r="I202" s="270"/>
      <c r="J202" s="268">
        <f>SUMIF(I6:I185,"SB(P)",N6:N185)</f>
        <v>33.7</v>
      </c>
      <c r="K202" s="269"/>
      <c r="L202" s="270"/>
      <c r="M202" s="554">
        <f>SUMIF(I6:I185,"SB(P)",R6:R185)</f>
        <v>0</v>
      </c>
      <c r="N202" s="555"/>
      <c r="O202" s="556"/>
      <c r="P202" s="268">
        <f>SUMIF(I16:I185,"SB(P)",V16:V185)</f>
        <v>40</v>
      </c>
      <c r="Q202" s="269"/>
      <c r="R202" s="269"/>
      <c r="S202" s="265">
        <f>SUMIF(I16:I185,"SB(P)",W16:W185)</f>
        <v>10</v>
      </c>
      <c r="T202" s="266"/>
      <c r="U202" s="267"/>
      <c r="W202" s="158"/>
    </row>
    <row r="203" spans="1:23" ht="15" customHeight="1" thickBot="1">
      <c r="A203" s="507" t="s">
        <v>156</v>
      </c>
      <c r="B203" s="508"/>
      <c r="C203" s="508"/>
      <c r="D203" s="508"/>
      <c r="E203" s="508"/>
      <c r="F203" s="508"/>
      <c r="G203" s="498">
        <f>SUMIF(I16:I185,"Kt",J16:J185)</f>
        <v>0</v>
      </c>
      <c r="H203" s="499"/>
      <c r="I203" s="500"/>
      <c r="J203" s="498">
        <f>SUMIF(I16:I185,"KT",N16:N185)</f>
        <v>0</v>
      </c>
      <c r="K203" s="499"/>
      <c r="L203" s="500"/>
      <c r="M203" s="560">
        <f>SUMIF(I6:I185,"Kt",R6:R185)</f>
        <v>0</v>
      </c>
      <c r="N203" s="561"/>
      <c r="O203" s="562"/>
      <c r="P203" s="498">
        <f>SUMIF(I16:I185,"Kt",V16:V185)</f>
        <v>0</v>
      </c>
      <c r="Q203" s="499"/>
      <c r="R203" s="499"/>
      <c r="S203" s="544">
        <f>SUMIF(I16:I185,"Kt",W16:W185)</f>
        <v>0</v>
      </c>
      <c r="T203" s="545"/>
      <c r="U203" s="546"/>
      <c r="W203" s="158"/>
    </row>
    <row r="204" spans="1:23" ht="15" customHeight="1" thickBot="1">
      <c r="A204" s="501" t="s">
        <v>39</v>
      </c>
      <c r="B204" s="502"/>
      <c r="C204" s="502"/>
      <c r="D204" s="502"/>
      <c r="E204" s="502"/>
      <c r="F204" s="503"/>
      <c r="G204" s="504">
        <f>G196+G189</f>
        <v>11118.8</v>
      </c>
      <c r="H204" s="505"/>
      <c r="I204" s="506"/>
      <c r="J204" s="504">
        <f>J196+J189</f>
        <v>13506.4</v>
      </c>
      <c r="K204" s="505"/>
      <c r="L204" s="506"/>
      <c r="M204" s="504">
        <f>M196+M189</f>
        <v>0</v>
      </c>
      <c r="N204" s="505"/>
      <c r="O204" s="506"/>
      <c r="P204" s="504">
        <f>P196+P189</f>
        <v>13325.5</v>
      </c>
      <c r="Q204" s="505"/>
      <c r="R204" s="505"/>
      <c r="S204" s="547">
        <f>S196+S189</f>
        <v>13433</v>
      </c>
      <c r="T204" s="548"/>
      <c r="U204" s="549"/>
      <c r="W204" s="158"/>
    </row>
    <row r="206" spans="1:23" s="84" customFormat="1" ht="11.25">
      <c r="A206" s="80"/>
      <c r="B206" s="80"/>
      <c r="C206" s="80"/>
      <c r="D206" s="81"/>
      <c r="E206" s="80"/>
      <c r="F206" s="81"/>
      <c r="G206" s="81"/>
      <c r="H206" s="80"/>
      <c r="I206" s="82"/>
      <c r="J206" s="80"/>
      <c r="K206" s="83"/>
      <c r="L206" s="80"/>
      <c r="M206" s="80"/>
      <c r="N206" s="80"/>
      <c r="O206" s="80"/>
      <c r="P206" s="80"/>
      <c r="Q206" s="83"/>
      <c r="R206" s="80"/>
      <c r="S206" s="83"/>
      <c r="T206" s="80"/>
      <c r="U206" s="80"/>
      <c r="V206" s="211"/>
      <c r="W206" s="211"/>
    </row>
    <row r="207" spans="9:22" ht="12">
      <c r="I207" s="26"/>
      <c r="V207" s="210"/>
    </row>
    <row r="208" ht="12">
      <c r="D208" s="75"/>
    </row>
  </sheetData>
  <sheetProtection/>
  <mergeCells count="399">
    <mergeCell ref="A11:W11"/>
    <mergeCell ref="S203:U203"/>
    <mergeCell ref="S204:U204"/>
    <mergeCell ref="B161:B163"/>
    <mergeCell ref="D161:D163"/>
    <mergeCell ref="C161:C163"/>
    <mergeCell ref="S192:U192"/>
    <mergeCell ref="S194:U194"/>
    <mergeCell ref="S193:U193"/>
    <mergeCell ref="B174:B176"/>
    <mergeCell ref="G167:G171"/>
    <mergeCell ref="F167:F171"/>
    <mergeCell ref="E167:E171"/>
    <mergeCell ref="A196:F196"/>
    <mergeCell ref="A190:F190"/>
    <mergeCell ref="G188:I188"/>
    <mergeCell ref="G189:I189"/>
    <mergeCell ref="D180:D182"/>
    <mergeCell ref="A174:A176"/>
    <mergeCell ref="A193:F193"/>
    <mergeCell ref="D174:D176"/>
    <mergeCell ref="A202:F202"/>
    <mergeCell ref="A199:F199"/>
    <mergeCell ref="G196:I196"/>
    <mergeCell ref="A197:F197"/>
    <mergeCell ref="H174:H176"/>
    <mergeCell ref="G180:G182"/>
    <mergeCell ref="F174:F176"/>
    <mergeCell ref="A198:F198"/>
    <mergeCell ref="G157:G160"/>
    <mergeCell ref="G161:G163"/>
    <mergeCell ref="A189:F189"/>
    <mergeCell ref="B177:B179"/>
    <mergeCell ref="E180:E182"/>
    <mergeCell ref="A180:A182"/>
    <mergeCell ref="B180:B182"/>
    <mergeCell ref="C180:C182"/>
    <mergeCell ref="F180:F182"/>
    <mergeCell ref="C167:C171"/>
    <mergeCell ref="G164:G166"/>
    <mergeCell ref="H161:H163"/>
    <mergeCell ref="H167:H171"/>
    <mergeCell ref="J196:L196"/>
    <mergeCell ref="M189:O189"/>
    <mergeCell ref="J190:L190"/>
    <mergeCell ref="J189:L189"/>
    <mergeCell ref="H164:H166"/>
    <mergeCell ref="J192:L192"/>
    <mergeCell ref="H180:H182"/>
    <mergeCell ref="P204:R204"/>
    <mergeCell ref="P202:R202"/>
    <mergeCell ref="P203:R203"/>
    <mergeCell ref="M203:O203"/>
    <mergeCell ref="S196:U196"/>
    <mergeCell ref="P200:R200"/>
    <mergeCell ref="P201:R201"/>
    <mergeCell ref="P196:R196"/>
    <mergeCell ref="M196:O196"/>
    <mergeCell ref="A204:F204"/>
    <mergeCell ref="J204:L204"/>
    <mergeCell ref="M204:O204"/>
    <mergeCell ref="A203:F203"/>
    <mergeCell ref="A200:F200"/>
    <mergeCell ref="M200:O200"/>
    <mergeCell ref="G203:I203"/>
    <mergeCell ref="G204:I204"/>
    <mergeCell ref="A201:F201"/>
    <mergeCell ref="J203:L203"/>
    <mergeCell ref="S195:U195"/>
    <mergeCell ref="S191:U191"/>
    <mergeCell ref="P192:R192"/>
    <mergeCell ref="A192:F192"/>
    <mergeCell ref="P193:R193"/>
    <mergeCell ref="A194:F194"/>
    <mergeCell ref="J194:L194"/>
    <mergeCell ref="M194:O194"/>
    <mergeCell ref="P194:R194"/>
    <mergeCell ref="P195:R195"/>
    <mergeCell ref="A195:F195"/>
    <mergeCell ref="J195:L195"/>
    <mergeCell ref="M195:O195"/>
    <mergeCell ref="P191:R191"/>
    <mergeCell ref="J193:L193"/>
    <mergeCell ref="A191:F191"/>
    <mergeCell ref="J191:L191"/>
    <mergeCell ref="G194:I194"/>
    <mergeCell ref="M192:O192"/>
    <mergeCell ref="G193:I193"/>
    <mergeCell ref="P188:R188"/>
    <mergeCell ref="P190:R190"/>
    <mergeCell ref="S188:U188"/>
    <mergeCell ref="S189:U189"/>
    <mergeCell ref="S190:U190"/>
    <mergeCell ref="M191:O191"/>
    <mergeCell ref="M193:O193"/>
    <mergeCell ref="A188:F188"/>
    <mergeCell ref="J188:L188"/>
    <mergeCell ref="M188:O188"/>
    <mergeCell ref="M190:O190"/>
    <mergeCell ref="P189:R189"/>
    <mergeCell ref="S187:T187"/>
    <mergeCell ref="C183:I183"/>
    <mergeCell ref="B184:I184"/>
    <mergeCell ref="B185:I185"/>
    <mergeCell ref="A187:R187"/>
    <mergeCell ref="E177:E179"/>
    <mergeCell ref="F177:F179"/>
    <mergeCell ref="H177:H179"/>
    <mergeCell ref="A177:A179"/>
    <mergeCell ref="F164:F166"/>
    <mergeCell ref="F161:F163"/>
    <mergeCell ref="C173:W173"/>
    <mergeCell ref="C177:C179"/>
    <mergeCell ref="G177:G179"/>
    <mergeCell ref="G174:G176"/>
    <mergeCell ref="D177:D179"/>
    <mergeCell ref="C172:I172"/>
    <mergeCell ref="E174:E176"/>
    <mergeCell ref="C174:C176"/>
    <mergeCell ref="B167:B171"/>
    <mergeCell ref="D167:D171"/>
    <mergeCell ref="A164:A166"/>
    <mergeCell ref="B164:B166"/>
    <mergeCell ref="C164:C166"/>
    <mergeCell ref="D164:D166"/>
    <mergeCell ref="A167:A171"/>
    <mergeCell ref="E161:E163"/>
    <mergeCell ref="A152:A154"/>
    <mergeCell ref="B152:B154"/>
    <mergeCell ref="C152:C154"/>
    <mergeCell ref="D152:D154"/>
    <mergeCell ref="D157:D160"/>
    <mergeCell ref="A157:A160"/>
    <mergeCell ref="B157:B160"/>
    <mergeCell ref="C157:C160"/>
    <mergeCell ref="A161:A163"/>
    <mergeCell ref="A62:A67"/>
    <mergeCell ref="B62:B67"/>
    <mergeCell ref="C62:C67"/>
    <mergeCell ref="E68:E73"/>
    <mergeCell ref="B51:B55"/>
    <mergeCell ref="E157:E160"/>
    <mergeCell ref="A149:A151"/>
    <mergeCell ref="E56:E61"/>
    <mergeCell ref="A56:A61"/>
    <mergeCell ref="B56:B61"/>
    <mergeCell ref="F46:F50"/>
    <mergeCell ref="H46:H50"/>
    <mergeCell ref="A46:A50"/>
    <mergeCell ref="B46:B50"/>
    <mergeCell ref="C46:C50"/>
    <mergeCell ref="D46:D50"/>
    <mergeCell ref="G46:G50"/>
    <mergeCell ref="E46:E50"/>
    <mergeCell ref="E28:E33"/>
    <mergeCell ref="F28:F33"/>
    <mergeCell ref="H28:H33"/>
    <mergeCell ref="A28:A33"/>
    <mergeCell ref="B28:B33"/>
    <mergeCell ref="C28:C33"/>
    <mergeCell ref="D28:D33"/>
    <mergeCell ref="G28:G33"/>
    <mergeCell ref="E40:E45"/>
    <mergeCell ref="F40:F45"/>
    <mergeCell ref="H40:H45"/>
    <mergeCell ref="A40:A45"/>
    <mergeCell ref="B40:B45"/>
    <mergeCell ref="C40:C45"/>
    <mergeCell ref="D40:D45"/>
    <mergeCell ref="G40:G45"/>
    <mergeCell ref="E34:E39"/>
    <mergeCell ref="F34:F39"/>
    <mergeCell ref="H34:H39"/>
    <mergeCell ref="A34:A39"/>
    <mergeCell ref="B34:B39"/>
    <mergeCell ref="C34:C39"/>
    <mergeCell ref="D34:D39"/>
    <mergeCell ref="G34:G39"/>
    <mergeCell ref="E22:E27"/>
    <mergeCell ref="F22:F27"/>
    <mergeCell ref="H22:H27"/>
    <mergeCell ref="A22:A27"/>
    <mergeCell ref="B22:B27"/>
    <mergeCell ref="C22:C27"/>
    <mergeCell ref="D22:D27"/>
    <mergeCell ref="G22:G27"/>
    <mergeCell ref="F8:F10"/>
    <mergeCell ref="C16:C21"/>
    <mergeCell ref="A16:A21"/>
    <mergeCell ref="B16:B21"/>
    <mergeCell ref="D16:D21"/>
    <mergeCell ref="B14:W14"/>
    <mergeCell ref="S9:T9"/>
    <mergeCell ref="R8:U8"/>
    <mergeCell ref="E16:E21"/>
    <mergeCell ref="F16:F21"/>
    <mergeCell ref="A6:W6"/>
    <mergeCell ref="H8:H10"/>
    <mergeCell ref="I8:I10"/>
    <mergeCell ref="A13:W13"/>
    <mergeCell ref="W8:W10"/>
    <mergeCell ref="K9:L9"/>
    <mergeCell ref="V8:V10"/>
    <mergeCell ref="U9:U10"/>
    <mergeCell ref="O9:P9"/>
    <mergeCell ref="Q9:Q10"/>
    <mergeCell ref="F51:F55"/>
    <mergeCell ref="A5:W5"/>
    <mergeCell ref="A8:A10"/>
    <mergeCell ref="B8:B10"/>
    <mergeCell ref="C8:C10"/>
    <mergeCell ref="D8:D10"/>
    <mergeCell ref="H51:H55"/>
    <mergeCell ref="R9:R10"/>
    <mergeCell ref="C15:W15"/>
    <mergeCell ref="E8:E10"/>
    <mergeCell ref="C56:C61"/>
    <mergeCell ref="D56:D61"/>
    <mergeCell ref="F56:F61"/>
    <mergeCell ref="H56:H61"/>
    <mergeCell ref="A51:A55"/>
    <mergeCell ref="C51:C55"/>
    <mergeCell ref="D51:D55"/>
    <mergeCell ref="G51:G55"/>
    <mergeCell ref="G56:G61"/>
    <mergeCell ref="E51:E55"/>
    <mergeCell ref="B68:B73"/>
    <mergeCell ref="C68:C73"/>
    <mergeCell ref="D68:D73"/>
    <mergeCell ref="D62:D67"/>
    <mergeCell ref="F68:F73"/>
    <mergeCell ref="H68:H73"/>
    <mergeCell ref="F62:F67"/>
    <mergeCell ref="H62:H67"/>
    <mergeCell ref="E62:E67"/>
    <mergeCell ref="G62:G67"/>
    <mergeCell ref="A74:A79"/>
    <mergeCell ref="B74:B79"/>
    <mergeCell ref="C74:C79"/>
    <mergeCell ref="D74:D79"/>
    <mergeCell ref="E74:E79"/>
    <mergeCell ref="F74:F79"/>
    <mergeCell ref="H74:H79"/>
    <mergeCell ref="A68:A73"/>
    <mergeCell ref="H80:H85"/>
    <mergeCell ref="A86:A91"/>
    <mergeCell ref="B86:B91"/>
    <mergeCell ref="C86:C91"/>
    <mergeCell ref="D86:D91"/>
    <mergeCell ref="E86:E91"/>
    <mergeCell ref="F86:F91"/>
    <mergeCell ref="H86:H91"/>
    <mergeCell ref="A80:A85"/>
    <mergeCell ref="B80:B85"/>
    <mergeCell ref="B92:B97"/>
    <mergeCell ref="C92:C97"/>
    <mergeCell ref="D92:D97"/>
    <mergeCell ref="E80:E85"/>
    <mergeCell ref="F80:F85"/>
    <mergeCell ref="C80:C85"/>
    <mergeCell ref="D80:D85"/>
    <mergeCell ref="E92:E97"/>
    <mergeCell ref="F92:F97"/>
    <mergeCell ref="H92:H97"/>
    <mergeCell ref="F104:F109"/>
    <mergeCell ref="A98:A103"/>
    <mergeCell ref="B98:B103"/>
    <mergeCell ref="C98:C103"/>
    <mergeCell ref="D98:D103"/>
    <mergeCell ref="E98:E103"/>
    <mergeCell ref="F98:F103"/>
    <mergeCell ref="H104:H109"/>
    <mergeCell ref="H117:H122"/>
    <mergeCell ref="H98:H103"/>
    <mergeCell ref="G98:G103"/>
    <mergeCell ref="A92:A97"/>
    <mergeCell ref="A104:A109"/>
    <mergeCell ref="B104:B109"/>
    <mergeCell ref="C104:C109"/>
    <mergeCell ref="D104:D109"/>
    <mergeCell ref="E104:E109"/>
    <mergeCell ref="C110:C116"/>
    <mergeCell ref="D110:D116"/>
    <mergeCell ref="H123:H128"/>
    <mergeCell ref="A110:A116"/>
    <mergeCell ref="B110:B116"/>
    <mergeCell ref="A117:A122"/>
    <mergeCell ref="B117:B122"/>
    <mergeCell ref="C117:C122"/>
    <mergeCell ref="D117:D122"/>
    <mergeCell ref="E117:E122"/>
    <mergeCell ref="F117:F122"/>
    <mergeCell ref="E123:E128"/>
    <mergeCell ref="F123:F128"/>
    <mergeCell ref="H141:H146"/>
    <mergeCell ref="E110:E116"/>
    <mergeCell ref="F110:F116"/>
    <mergeCell ref="H110:H116"/>
    <mergeCell ref="E141:E146"/>
    <mergeCell ref="F141:F146"/>
    <mergeCell ref="F135:F138"/>
    <mergeCell ref="H129:H134"/>
    <mergeCell ref="A141:A146"/>
    <mergeCell ref="B141:B146"/>
    <mergeCell ref="C141:C146"/>
    <mergeCell ref="D141:D146"/>
    <mergeCell ref="E129:E134"/>
    <mergeCell ref="F129:F134"/>
    <mergeCell ref="A129:A134"/>
    <mergeCell ref="B129:B134"/>
    <mergeCell ref="C129:C134"/>
    <mergeCell ref="A123:A128"/>
    <mergeCell ref="B123:B128"/>
    <mergeCell ref="C123:C128"/>
    <mergeCell ref="D123:D128"/>
    <mergeCell ref="D149:D151"/>
    <mergeCell ref="D129:D134"/>
    <mergeCell ref="B149:B151"/>
    <mergeCell ref="C149:C151"/>
    <mergeCell ref="C135:C138"/>
    <mergeCell ref="A135:A138"/>
    <mergeCell ref="B135:B138"/>
    <mergeCell ref="C140:W140"/>
    <mergeCell ref="G141:G146"/>
    <mergeCell ref="G147:G148"/>
    <mergeCell ref="E147:E148"/>
    <mergeCell ref="F147:F148"/>
    <mergeCell ref="G135:G138"/>
    <mergeCell ref="A147:A148"/>
    <mergeCell ref="B147:B148"/>
    <mergeCell ref="D135:D138"/>
    <mergeCell ref="E135:E138"/>
    <mergeCell ref="C156:W156"/>
    <mergeCell ref="C155:I155"/>
    <mergeCell ref="H149:H151"/>
    <mergeCell ref="E149:E151"/>
    <mergeCell ref="F149:F151"/>
    <mergeCell ref="F152:F154"/>
    <mergeCell ref="E164:E166"/>
    <mergeCell ref="F157:F160"/>
    <mergeCell ref="G152:G154"/>
    <mergeCell ref="G74:G79"/>
    <mergeCell ref="G80:G85"/>
    <mergeCell ref="G86:G91"/>
    <mergeCell ref="E152:E154"/>
    <mergeCell ref="C139:I139"/>
    <mergeCell ref="C147:C148"/>
    <mergeCell ref="D147:D148"/>
    <mergeCell ref="J8:M8"/>
    <mergeCell ref="N8:Q8"/>
    <mergeCell ref="G8:G10"/>
    <mergeCell ref="J9:J10"/>
    <mergeCell ref="M9:M10"/>
    <mergeCell ref="N9:N10"/>
    <mergeCell ref="H16:H21"/>
    <mergeCell ref="G16:G21"/>
    <mergeCell ref="A12:W12"/>
    <mergeCell ref="G123:G128"/>
    <mergeCell ref="G129:G134"/>
    <mergeCell ref="G104:G109"/>
    <mergeCell ref="G117:G122"/>
    <mergeCell ref="G68:G73"/>
    <mergeCell ref="G110:G116"/>
    <mergeCell ref="G92:G97"/>
    <mergeCell ref="H157:H160"/>
    <mergeCell ref="H147:H148"/>
    <mergeCell ref="H152:H154"/>
    <mergeCell ref="G149:G151"/>
    <mergeCell ref="H135:H138"/>
    <mergeCell ref="P198:R198"/>
    <mergeCell ref="G190:I190"/>
    <mergeCell ref="G195:I195"/>
    <mergeCell ref="G191:I191"/>
    <mergeCell ref="G192:I192"/>
    <mergeCell ref="G199:I199"/>
    <mergeCell ref="G200:I200"/>
    <mergeCell ref="G201:I201"/>
    <mergeCell ref="G202:I202"/>
    <mergeCell ref="J199:L199"/>
    <mergeCell ref="M199:O199"/>
    <mergeCell ref="J201:L201"/>
    <mergeCell ref="J202:L202"/>
    <mergeCell ref="M202:O202"/>
    <mergeCell ref="J200:L200"/>
    <mergeCell ref="G198:I198"/>
    <mergeCell ref="J197:L197"/>
    <mergeCell ref="J198:L198"/>
    <mergeCell ref="M197:O197"/>
    <mergeCell ref="M198:O198"/>
    <mergeCell ref="P197:R197"/>
    <mergeCell ref="G197:I197"/>
    <mergeCell ref="S202:U202"/>
    <mergeCell ref="M201:O201"/>
    <mergeCell ref="S197:U197"/>
    <mergeCell ref="S198:U198"/>
    <mergeCell ref="P199:R199"/>
    <mergeCell ref="S200:U200"/>
    <mergeCell ref="S201:U201"/>
    <mergeCell ref="S199:U199"/>
  </mergeCells>
  <printOptions/>
  <pageMargins left="0.1968503937007874" right="0" top="0.2362204724409449" bottom="0.5118110236220472" header="0.11811023622047245" footer="0.5118110236220472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Ernestas</cp:lastModifiedBy>
  <cp:lastPrinted>2018-02-14T09:49:07Z</cp:lastPrinted>
  <dcterms:created xsi:type="dcterms:W3CDTF">2010-02-21T09:31:05Z</dcterms:created>
  <dcterms:modified xsi:type="dcterms:W3CDTF">2018-02-14T09:49:16Z</dcterms:modified>
  <cp:category/>
  <cp:version/>
  <cp:contentType/>
  <cp:contentStatus/>
</cp:coreProperties>
</file>