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58" activeTab="2"/>
  </bookViews>
  <sheets>
    <sheet name="1 patikslintas priedas" sheetId="1" r:id="rId1"/>
    <sheet name="2 patikslintas priedas" sheetId="2" r:id="rId2"/>
    <sheet name="3 patikslintas priedas" sheetId="3" r:id="rId3"/>
    <sheet name="4 patikslintas priedas" sheetId="4" r:id="rId4"/>
  </sheets>
  <definedNames>
    <definedName name="_xlnm.Print_Titles" localSheetId="0">'1 patikslintas priedas'!$10:$10</definedName>
    <definedName name="_xlnm.Print_Titles" localSheetId="1">'2 patikslintas priedas'!$10:$10</definedName>
    <definedName name="_xlnm.Print_Titles" localSheetId="2">'3 patikslintas priedas'!$13:$13</definedName>
  </definedNames>
  <calcPr fullCalcOnLoad="1"/>
</workbook>
</file>

<file path=xl/comments3.xml><?xml version="1.0" encoding="utf-8"?>
<comments xmlns="http://schemas.openxmlformats.org/spreadsheetml/2006/main">
  <authors>
    <author>Audrone Stoskiene</author>
    <author>astoskiene</author>
  </authors>
  <commentList>
    <comment ref="C67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50000 lietaus nuotekos Sodu g. kvartale</t>
        </r>
      </text>
    </comment>
    <comment ref="L100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be likucio 2017-12-31</t>
        </r>
      </text>
    </comment>
    <comment ref="E141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knygos</t>
        </r>
      </text>
    </comment>
    <comment ref="C166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1620 mityba</t>
        </r>
      </text>
    </comment>
    <comment ref="C169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910 mityba</t>
        </r>
      </text>
    </comment>
    <comment ref="C172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2780 mityba
20 kitos</t>
        </r>
      </text>
    </comment>
    <comment ref="C175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1150 mityba</t>
        </r>
      </text>
    </comment>
    <comment ref="C179" authorId="1">
      <text>
        <r>
          <rPr>
            <b/>
            <sz val="9"/>
            <rFont val="Tahoma"/>
            <family val="2"/>
          </rPr>
          <t xml:space="preserve">astoskiene:
</t>
        </r>
        <r>
          <rPr>
            <sz val="9"/>
            <rFont val="Tahoma"/>
            <family val="2"/>
          </rPr>
          <t>970 mityba</t>
        </r>
      </text>
    </comment>
    <comment ref="C182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6500 mityba</t>
        </r>
      </text>
    </comment>
    <comment ref="C185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4500 mityba</t>
        </r>
      </text>
    </comment>
    <comment ref="C187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6000 mityba</t>
        </r>
      </text>
    </comment>
    <comment ref="F194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2319 administravimas</t>
        </r>
      </text>
    </comment>
    <comment ref="C232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5800 tarybos suteiktos lengvatos
6200 lengvatos pagal pajamas</t>
        </r>
      </text>
    </comment>
    <comment ref="E237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transporto priemone su specialia iranga (pirmine imoka)</t>
        </r>
      </text>
    </comment>
    <comment ref="C239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kriziu centro mityba 8000
ir papildomai 4000</t>
        </r>
      </text>
    </comment>
  </commentList>
</comments>
</file>

<file path=xl/sharedStrings.xml><?xml version="1.0" encoding="utf-8"?>
<sst xmlns="http://schemas.openxmlformats.org/spreadsheetml/2006/main" count="721" uniqueCount="572">
  <si>
    <t>Iš viso</t>
  </si>
  <si>
    <t>iš jų:</t>
  </si>
  <si>
    <t>Viešvilės seniūnijai</t>
  </si>
  <si>
    <t>Veliuonos seniūnijai</t>
  </si>
  <si>
    <t>Šimkaičių seniūnijai</t>
  </si>
  <si>
    <t>Smalininkų seniūnijai</t>
  </si>
  <si>
    <t>Skirsnemunės seniūnijai</t>
  </si>
  <si>
    <t>Seredžiaus seniūnijai</t>
  </si>
  <si>
    <t>Raudonės seniūnijai</t>
  </si>
  <si>
    <t>Jurbarkų seniūnijai</t>
  </si>
  <si>
    <t>Juodaičių seniūnijai</t>
  </si>
  <si>
    <t>Girdžių seniūnijai</t>
  </si>
  <si>
    <t>Eržvilko seniūnijai</t>
  </si>
  <si>
    <t>Jurbarko rajono savivaldybės tarybos</t>
  </si>
  <si>
    <t>Jurbarko Antano Giedraičio-Giedriaus gimnazijai</t>
  </si>
  <si>
    <t>Seredžiaus senelių globos namams</t>
  </si>
  <si>
    <t>socialinės paramos išmokoms</t>
  </si>
  <si>
    <t>Jurbarko rajono viešajai bibliotekai</t>
  </si>
  <si>
    <t>Jurbarko krašto muziejui</t>
  </si>
  <si>
    <t>Jurbarko kultūros centrui</t>
  </si>
  <si>
    <t>Jurbarko r. Juodaičių pagrindinei mokyklai</t>
  </si>
  <si>
    <t>Jurbarko r. Raudonės pagrindinei mokyklai</t>
  </si>
  <si>
    <t>Jurbarko r. Vadžgirio pagrindinei mokyklai</t>
  </si>
  <si>
    <t>mobilizacijos funkcijai administruoti</t>
  </si>
  <si>
    <t>Jurbarko vaikų lopšeliui-darželiui „Nykštukas“</t>
  </si>
  <si>
    <t xml:space="preserve">Eil. Nr.  </t>
  </si>
  <si>
    <t>ilgalaikiam turtui kurti, įsigyti</t>
  </si>
  <si>
    <t>Savivaldybės biudžeto lėšos</t>
  </si>
  <si>
    <t>darbo už-mokesčio fondui</t>
  </si>
  <si>
    <t>IŠ VISO</t>
  </si>
  <si>
    <t>Rajono savivaldybės administracijai, iš jų</t>
  </si>
  <si>
    <t>Rajono savivaldybės administracijos Finansų skyriui, iš jų:</t>
  </si>
  <si>
    <t>Kūno kultūros ir sporto centro veiklai</t>
  </si>
  <si>
    <t>IŠ VISO:</t>
  </si>
  <si>
    <t>mokyklai</t>
  </si>
  <si>
    <t>darželiui</t>
  </si>
  <si>
    <t>Jurbarko r. Klausučių Stasio Santvaro pagrindinei mokyklai, iš jų:</t>
  </si>
  <si>
    <t>Jurbarko r. Skirsnemunės Jurgio Baltrušaičio pagrindinei mokyklai, iš jų:</t>
  </si>
  <si>
    <t>Jurbarko r. Smalininkų Lidijos Meškaitytės pagrindinei mokyklai, iš jų:</t>
  </si>
  <si>
    <t>Jurbarko r. Viešvilės pagrindinei mokyklai, iš jų:</t>
  </si>
  <si>
    <t>Jurbarko r. Jurbarkų darželiui-mokyklai, iš jų:</t>
  </si>
  <si>
    <t>PROGRAMAI SKIRIAMA SUMA:</t>
  </si>
  <si>
    <t>daugiabučių namų savininkų bendrijoms remti</t>
  </si>
  <si>
    <t>visuomenės sveikatinimo programoms</t>
  </si>
  <si>
    <t>kultūrinės veiklos programoms ir renginiams</t>
  </si>
  <si>
    <t>moksleivių sportui aktyvinti</t>
  </si>
  <si>
    <t>kompensacijoms už lengvatinį mokinių vežimą</t>
  </si>
  <si>
    <t>kompensacijoms už šildymą, kietąjį kurą, šaltą ir karštą vandenį</t>
  </si>
  <si>
    <t>išlaidoms už įsigytus maisto produktus</t>
  </si>
  <si>
    <t>kompensacijoms už lengvatinį socialiai remtinų asmenų vežimą</t>
  </si>
  <si>
    <t>švietimo objektų plėtrai, modernizavimui, iš jų:</t>
  </si>
  <si>
    <t>direktoriaus rezervui tvarkyti</t>
  </si>
  <si>
    <t>Jurbarko r. Šimkaičių Jono Žemaičio pagrindinei mokyklai, iš jų:</t>
  </si>
  <si>
    <t>Kūno kultūros ir sporto centrui, iš jų:</t>
  </si>
  <si>
    <t>Rajono savivaldybės administracijai, iš jų:</t>
  </si>
  <si>
    <t>Jurbarko Antano Sodeikos meno mokyklai</t>
  </si>
  <si>
    <t>Eil. Nr.</t>
  </si>
  <si>
    <t>Pajamų pavadinimas</t>
  </si>
  <si>
    <t>4.1.</t>
  </si>
  <si>
    <t>4.2.</t>
  </si>
  <si>
    <t>5.1.</t>
  </si>
  <si>
    <t>5.2.</t>
  </si>
  <si>
    <t>2.1.</t>
  </si>
  <si>
    <t>2.2.</t>
  </si>
  <si>
    <t>2.3.</t>
  </si>
  <si>
    <t>2.4.</t>
  </si>
  <si>
    <t>2.5.</t>
  </si>
  <si>
    <t>2.6.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</si>
  <si>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</si>
  <si>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</si>
  <si>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</si>
  <si>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</si>
  <si>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</si>
  <si>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</si>
  <si>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</si>
  <si>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</si>
  <si>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</si>
  <si>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</si>
  <si>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</si>
  <si>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</si>
  <si>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</si>
  <si>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Asignavimų valdytojų/ programų vykdytojų pavadinimai</t>
  </si>
  <si>
    <t>2.7.</t>
  </si>
  <si>
    <t>2.8.</t>
  </si>
  <si>
    <t>2.9.</t>
  </si>
  <si>
    <t>2.10.</t>
  </si>
  <si>
    <t>2.11.</t>
  </si>
  <si>
    <t>3.1.</t>
  </si>
  <si>
    <t>6.1.</t>
  </si>
  <si>
    <t>7.1.</t>
  </si>
  <si>
    <t>7.2.</t>
  </si>
  <si>
    <t>7.3.</t>
  </si>
  <si>
    <t>8.1.</t>
  </si>
  <si>
    <t>8.2.</t>
  </si>
  <si>
    <t>8.3.</t>
  </si>
  <si>
    <t>10.1.</t>
  </si>
  <si>
    <t>10.2.</t>
  </si>
  <si>
    <t>10.3.</t>
  </si>
  <si>
    <t>11.2.</t>
  </si>
  <si>
    <t>11.3.</t>
  </si>
  <si>
    <t>12.1.</t>
  </si>
  <si>
    <t>12.2.</t>
  </si>
  <si>
    <t>12.3.</t>
  </si>
  <si>
    <t>13.1.</t>
  </si>
  <si>
    <t>34.1.</t>
  </si>
  <si>
    <t>34.2.</t>
  </si>
  <si>
    <t>47.1.</t>
  </si>
  <si>
    <t>Jurbarko rajono Eržvilko gimnazijai</t>
  </si>
  <si>
    <t>ilgalaikei socialinei globai (vaikų ir kitų asmenų apgyvendinimas specializuotose įstaigose)</t>
  </si>
  <si>
    <t>35.1.</t>
  </si>
  <si>
    <t>35.2.</t>
  </si>
  <si>
    <t>2.12.</t>
  </si>
  <si>
    <t>savivaldybės mero fondui</t>
  </si>
  <si>
    <t>2.13.</t>
  </si>
  <si>
    <t>2.14.</t>
  </si>
  <si>
    <t>Eržvilko seniūnijai bendrosioms paslaugoms</t>
  </si>
  <si>
    <t>15.</t>
  </si>
  <si>
    <t>16.</t>
  </si>
  <si>
    <t>17.</t>
  </si>
  <si>
    <t>18.</t>
  </si>
  <si>
    <t>19.</t>
  </si>
  <si>
    <t xml:space="preserve">Girdžių seniūnijai bendrosioms paslaugoms </t>
  </si>
  <si>
    <t xml:space="preserve">Juodaičių seniūnijai bendrosioms paslaugoms </t>
  </si>
  <si>
    <t xml:space="preserve">Jurbarkų seniūnijai bendrosioms paslaugoms </t>
  </si>
  <si>
    <t xml:space="preserve">Raudonės seniūnijai bendrosioms paslaugoms </t>
  </si>
  <si>
    <t xml:space="preserve">Seredžiaus seniūnijai bendrosioms paslaugoms </t>
  </si>
  <si>
    <t xml:space="preserve">Skirsnemunės seniūnijai bendrosioms paslaugoms </t>
  </si>
  <si>
    <t xml:space="preserve">Smalininkų seniūnijai bendrosioms paslaugoms </t>
  </si>
  <si>
    <t xml:space="preserve">Šimkaičių seniūnijai bendrosioms paslaugoms </t>
  </si>
  <si>
    <t xml:space="preserve">Veliuonos seniūnijai bendrosioms paslaugoms </t>
  </si>
  <si>
    <t xml:space="preserve">Viešvilės seniūnijai bendrosioms paslaugoms </t>
  </si>
  <si>
    <t xml:space="preserve">Jurbarko miesto seniūnijai bendrosioms paslaugoms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</si>
  <si>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</si>
  <si>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</si>
  <si>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</si>
  <si>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</si>
  <si>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</si>
  <si>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</si>
  <si>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</si>
  <si>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</si>
  <si>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</si>
  <si>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7.4.</t>
  </si>
  <si>
    <t>7.5.</t>
  </si>
  <si>
    <t>7.6.</t>
  </si>
  <si>
    <t>7.7.</t>
  </si>
  <si>
    <t>7.8.</t>
  </si>
  <si>
    <t>7.9.</t>
  </si>
  <si>
    <t>7.10.</t>
  </si>
  <si>
    <t>8.4.</t>
  </si>
  <si>
    <t>8.5.</t>
  </si>
  <si>
    <t>8.6.</t>
  </si>
  <si>
    <t>8.7.</t>
  </si>
  <si>
    <t>8.8.</t>
  </si>
  <si>
    <t>8.9.</t>
  </si>
  <si>
    <t>8.10.</t>
  </si>
  <si>
    <t>8.11.</t>
  </si>
  <si>
    <t xml:space="preserve">Jurbarko rajono priešgaisrinei tarnybai </t>
  </si>
  <si>
    <t>10.4.</t>
  </si>
  <si>
    <t>Eržvilko kultūros centrui</t>
  </si>
  <si>
    <t>Klausučių kultūros centrui</t>
  </si>
  <si>
    <t>Veliuonos kultūros centrui</t>
  </si>
  <si>
    <t>Mažosios Lietuvos Jurbarko krašto kultūros centrui</t>
  </si>
  <si>
    <t>20.</t>
  </si>
  <si>
    <t>21.</t>
  </si>
  <si>
    <t>religinėms bendruomenėms remti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</si>
  <si>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</si>
  <si>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</si>
  <si>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</si>
  <si>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</si>
  <si>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</si>
  <si>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</si>
  <si>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</si>
  <si>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</si>
  <si>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</si>
  <si>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</si>
  <si>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</si>
  <si>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</si>
  <si>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</si>
  <si>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</si>
  <si>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</si>
  <si>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</si>
  <si>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</si>
  <si>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</si>
  <si>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</si>
  <si>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</si>
  <si>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</si>
  <si>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</si>
  <si>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</si>
  <si>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</si>
  <si>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</si>
  <si>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</si>
  <si>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VšĮ Jurbarko ligoninei</t>
  </si>
  <si>
    <t>VšĮ Jurbarko rajono PSPC</t>
  </si>
  <si>
    <t>VšĮ Eržvilko PSPC</t>
  </si>
  <si>
    <t>Savivaldybės administracijos ir seniūnijų remonto, ilgalaikio turto įsigijimo išlaidoms</t>
  </si>
  <si>
    <t>4.3.</t>
  </si>
  <si>
    <t>melioracijos išlaidoms finansuoti</t>
  </si>
  <si>
    <t>13.2.</t>
  </si>
  <si>
    <t>14.1.</t>
  </si>
  <si>
    <t>mokinių užimtumo, socializacijos, prevencijos ir kitoms programoms finansuoti</t>
  </si>
  <si>
    <t>11.1.</t>
  </si>
  <si>
    <t>buitinių atliekų šalinimo išlaidoms finansuoti</t>
  </si>
  <si>
    <t>seniūnijose organizuojamiems renginiams</t>
  </si>
  <si>
    <t>Jurbarko „Ąžuoliuko“ mokyklai, iš jų:</t>
  </si>
  <si>
    <t>38.1.</t>
  </si>
  <si>
    <t>38.2.</t>
  </si>
  <si>
    <t>45.1.</t>
  </si>
  <si>
    <t>45.2.</t>
  </si>
  <si>
    <t>45.3.</t>
  </si>
  <si>
    <t>kompensacijoms už buitinių atliekų šalinimą</t>
  </si>
  <si>
    <t>civilinei saugai administruoti</t>
  </si>
  <si>
    <t>Turizmo ir verslo informacijos centro veiklos plėtrai</t>
  </si>
  <si>
    <t>vaiko ir jaunimo teisių apsaugai</t>
  </si>
  <si>
    <t>39.1.</t>
  </si>
  <si>
    <t>39.2.</t>
  </si>
  <si>
    <t>švietimo įstaigų ilgalaikiam turtui įsigyti</t>
  </si>
  <si>
    <t>3 priedas</t>
  </si>
  <si>
    <t>savivaldybės administracijai bendrosioms paslaugoms finansuoti</t>
  </si>
  <si>
    <t>žemės ūkio funkcijai vykdyti</t>
  </si>
  <si>
    <t>socialinėms paslaugoms asmenims su sunkia negalia administruoti</t>
  </si>
  <si>
    <t xml:space="preserve">socialinei paramai administruoti </t>
  </si>
  <si>
    <t>Jurbarko miesto seniūnijai (UAB „Jurbarko komunalininkas“ atliekamiems darbams)</t>
  </si>
  <si>
    <t>8.12.</t>
  </si>
  <si>
    <t xml:space="preserve">13. </t>
  </si>
  <si>
    <t>Jurbarko rajono savivaldybės visuomenės sveikatos biurui</t>
  </si>
  <si>
    <t>nevyriausybinėms organizacijoms remti</t>
  </si>
  <si>
    <t>14.2.</t>
  </si>
  <si>
    <t>švietimo įstaigų higienos priemonėms įsigyti</t>
  </si>
  <si>
    <t>švietimo įstaigų priešgaisrinės saugos priemonėms diegti, įsigyti</t>
  </si>
  <si>
    <t>socialinei paramai mokiniams administruoti</t>
  </si>
  <si>
    <t>būsto nuomos, išperkamosios nuomos mokesčių kompensacijoms</t>
  </si>
  <si>
    <t>išlaidoms už įsigytus mokinio reikmenis</t>
  </si>
  <si>
    <t>nemokamo maitinimo patiekalų gamybos išlaidoms</t>
  </si>
  <si>
    <t>vienkartinei socialinei paramai</t>
  </si>
  <si>
    <t>socialinei paramai mirties atveju</t>
  </si>
  <si>
    <t>seniūnijų socialiniams darbuotojams darbui su socialinės rizikos šeimomis išlaikyti</t>
  </si>
  <si>
    <t>sutrikusio intelekto jaunuolių darbinių įgūdžių formavimui (VšĮ „Jurbarko socialinės paslaugos“)</t>
  </si>
  <si>
    <t>45.4.</t>
  </si>
  <si>
    <t>11.4.</t>
  </si>
  <si>
    <t>14.3.</t>
  </si>
  <si>
    <t>14.4.</t>
  </si>
  <si>
    <t>14.5.</t>
  </si>
  <si>
    <t>14.6.</t>
  </si>
  <si>
    <t>14.7.</t>
  </si>
  <si>
    <t>14.8.</t>
  </si>
  <si>
    <t>15.1.</t>
  </si>
  <si>
    <t>15.2.</t>
  </si>
  <si>
    <t>23.1.</t>
  </si>
  <si>
    <t>23.2.</t>
  </si>
  <si>
    <t>23.3.</t>
  </si>
  <si>
    <t>26.1.</t>
  </si>
  <si>
    <t>26.2.</t>
  </si>
  <si>
    <t>32.1.</t>
  </si>
  <si>
    <t>32.2.</t>
  </si>
  <si>
    <t>37.1.</t>
  </si>
  <si>
    <t>37.2.</t>
  </si>
  <si>
    <t>46.</t>
  </si>
  <si>
    <t>Savivaldybės kontrolės ir audito tarnybai</t>
  </si>
  <si>
    <t>savivaldos institucijoms finansuoti</t>
  </si>
  <si>
    <t>5.3.</t>
  </si>
  <si>
    <t>smulkiam ir vidutiniam verslui skatinti</t>
  </si>
  <si>
    <t>žemės sklypų formavimo ir infrastruktūros objektų projektams, kadastriniams matavimams ir kitiems teritorijų planavimo dokumentams rengti</t>
  </si>
  <si>
    <t>smulkiems infrastruktūros objektams įrengti, remontuoti, prižiūrėti</t>
  </si>
  <si>
    <t>keleivių vežiojimo ekonomiškai nenaudingais vietinio susisiekimo maršrutais subsidijoms, viešojo tualeto eksploatacijos nuostoliams dengti</t>
  </si>
  <si>
    <t>miesto stebėjimo vaizdo kameromis paslaugoms</t>
  </si>
  <si>
    <t>gatvių apšvietimo infrastruktūros priežiūrai ir plėtrai Jurbarko mieste ir rajone</t>
  </si>
  <si>
    <t>Seniūnijų viešojo naudojimo teritorijų, kapinių, gatvių ir kelių priežiūros bei kitiems darbams, iš jų:</t>
  </si>
  <si>
    <t>10.5.</t>
  </si>
  <si>
    <t>praeityje užterštoms teritorijoms tvarkyti, kitoms aplinkos teršimo mažinimo priemonėms</t>
  </si>
  <si>
    <t>mokinių visuomenės sveikatos priežiūrai ugdymo įstaigose organizuoti</t>
  </si>
  <si>
    <t>visuomenės sveikatos stiprinimui ir stebėsenai</t>
  </si>
  <si>
    <t>aplinkai ir žmogaus sveikatai pavojingiems želdynams šalinti</t>
  </si>
  <si>
    <t>ekologinio švietimo ir informavimo priemonėms</t>
  </si>
  <si>
    <t>savivaldybės biudžete nenumatytoms išlaidoms finansuoti, įvairių institucijų programoms, projektams, renginiams remti</t>
  </si>
  <si>
    <t>programoms, skirtoms etninės kultūros sklaidai, vykdyti</t>
  </si>
  <si>
    <t>nekilnojamųjų kultūros vertybių apskaitai, kultūros paveldo objektų tvarkybai, renginiams</t>
  </si>
  <si>
    <t>15.3.</t>
  </si>
  <si>
    <t>Jurbarko r. Seredžiaus Stasio Šimkaus mokyklai-daugiafunkciam centrui</t>
  </si>
  <si>
    <t>švietimo įstaigų pastatams remontuoti ir avarinėms situacijoms likviduoti</t>
  </si>
  <si>
    <t>laikinai negyvenamų, neišnuomotų savivaldybės patalpų, labdaros valgyklos komunalinėms paslaugoms dengti</t>
  </si>
  <si>
    <t>asmens higienos ir laikino apgyvendinimo nakvynės namuose paslaugoms (VšĮ „Jurbarko socialinės paslaugos“)</t>
  </si>
  <si>
    <t>neatpažintų palaikų pervežimo išlaidoms dengti</t>
  </si>
  <si>
    <t>ilgalaikei socialinei globai sutrikusio intelekto jaunuoliams (VšĮ „Jurbarko socialinės paslaugos“)</t>
  </si>
  <si>
    <t>pagalbos į namus paslaugoms teikti (VšĮ „Jurbarko socialinės paslaugos“)</t>
  </si>
  <si>
    <t>laikinoms socialiai remtinų asmenų globos paslaugoms VšĮ Jurbarko ligoninėje</t>
  </si>
  <si>
    <t>socialinės globos paslaugoms teikti asmenims su sunkia negalia</t>
  </si>
  <si>
    <t>maitinimui  labdaros valgykloje organizuoti (Lietuvos samariečių Jurbarko krašto bendrija)</t>
  </si>
  <si>
    <t>socialinės reabilitacijos paslaugų neįgaliesiems ir socialinės integracijos projektams</t>
  </si>
  <si>
    <t>jaunimo užimtumui ir integracijai į vietos bendruomenės gyvenimą aktyvinti</t>
  </si>
  <si>
    <t>kaimo plėtrai ir ūkininkams remti</t>
  </si>
  <si>
    <t>15.4.</t>
  </si>
  <si>
    <t>kolektyvų pasirengimo Dainų šventei programai</t>
  </si>
  <si>
    <t>meno saviveiklos kolektyvų koncertinėms užsienio kelionėms miestų-partnerių ir įvairių festivalių organizatorių kvietimu</t>
  </si>
  <si>
    <t>6.2.</t>
  </si>
  <si>
    <t>paslaugoms vaikus globojančiai šeimai, globėjams, įtėviams ir besirengiančiais jais tapti asmenims teikti (VšĮ „Jurbarko socialinės paslaugos“)</t>
  </si>
  <si>
    <t>projektų paraiškoms rengti, konsultavimo ir projektų ekspertizių paslaugoms, nekompensuojamoms, bet būtinoms projektų išlaidoms finansuoti, bendrojo finansavimo lėšoms</t>
  </si>
  <si>
    <t>7.11.</t>
  </si>
  <si>
    <t>eismo saugumo priemonėms diegti</t>
  </si>
  <si>
    <t>33.1.</t>
  </si>
  <si>
    <t>33.2.</t>
  </si>
  <si>
    <t>VVG „Nemunas“ atrinktiems  projektams remti</t>
  </si>
  <si>
    <t>6.3.</t>
  </si>
  <si>
    <t>MVVG „Jurbarkas“ atrinktiems  projektams remti</t>
  </si>
  <si>
    <t>neveiksnių asmenų būklei peržiūrėti</t>
  </si>
  <si>
    <t>30.1.</t>
  </si>
  <si>
    <t>30.2.</t>
  </si>
  <si>
    <t>43.1.</t>
  </si>
  <si>
    <t>43.2.</t>
  </si>
  <si>
    <t>43.3.</t>
  </si>
  <si>
    <t>43.4.</t>
  </si>
  <si>
    <t>44.1.</t>
  </si>
  <si>
    <t>44.2.</t>
  </si>
  <si>
    <t>44.3.</t>
  </si>
  <si>
    <t>44.4.</t>
  </si>
  <si>
    <t>44.5.</t>
  </si>
  <si>
    <t>44.6.</t>
  </si>
  <si>
    <t>44.7.</t>
  </si>
  <si>
    <t>43.5.</t>
  </si>
  <si>
    <t>neformaliajam vaikų švietimui finansuoti</t>
  </si>
  <si>
    <t>švietimo įstaigų sporto bazėms remontuoti</t>
  </si>
  <si>
    <t>45.5.</t>
  </si>
  <si>
    <t>45.6.</t>
  </si>
  <si>
    <t>45.7.</t>
  </si>
  <si>
    <t>45.8.</t>
  </si>
  <si>
    <t>45.9.</t>
  </si>
  <si>
    <t>45.10.</t>
  </si>
  <si>
    <t>45.11.</t>
  </si>
  <si>
    <t>45.12.</t>
  </si>
  <si>
    <t>45.13.</t>
  </si>
  <si>
    <t>45.14.</t>
  </si>
  <si>
    <t>45.15.</t>
  </si>
  <si>
    <t>45.16.</t>
  </si>
  <si>
    <t>45.17.</t>
  </si>
  <si>
    <t>45.18.</t>
  </si>
  <si>
    <t>45.19.</t>
  </si>
  <si>
    <t>45.20.</t>
  </si>
  <si>
    <t>45.21.</t>
  </si>
  <si>
    <t>45.22.</t>
  </si>
  <si>
    <t>45.23.</t>
  </si>
  <si>
    <t>45.24.</t>
  </si>
  <si>
    <t>45.25.</t>
  </si>
  <si>
    <t>45.26.</t>
  </si>
  <si>
    <t>45.27.</t>
  </si>
  <si>
    <t>45.28.</t>
  </si>
  <si>
    <t>45.29.</t>
  </si>
  <si>
    <t>48.1.</t>
  </si>
  <si>
    <t>pagalba vaikams patekusiems į krizinę situaciją    VšĮ Jurbarko ligoninėje</t>
  </si>
  <si>
    <t>parama vaikus globojančioms šeimoms</t>
  </si>
  <si>
    <t>45.30.</t>
  </si>
  <si>
    <t>45.31.</t>
  </si>
  <si>
    <t>neįgaliųjų būstui pritaikyti jų reikmėms</t>
  </si>
  <si>
    <t>lėšos ilgalaikėms paskoloms grąžinti</t>
  </si>
  <si>
    <t>reprezentaciniams leidiniams, suvenyrams įsigyti</t>
  </si>
  <si>
    <t>bendrojo naudojimo infrastruktūros objektams prižiūrėti (daugiabučių namų kiemai, automobilių stovėjimo aikštelės ir pan.)</t>
  </si>
  <si>
    <t>medžiojamų gyvūnų daromos žalos prevencinėms priemonėms vykdyti</t>
  </si>
  <si>
    <t>švietimo įstaigų išorinės aplinkos infrastruktūrai sutvarkyti ir edukacinėms erdvėms kurti</t>
  </si>
  <si>
    <t>aprūpinti nepasiturinčius rajono gyventojus maisto produktais iš ES pagalbos labiausiai skurstantiems asmenims fondo</t>
  </si>
  <si>
    <t>BENDRŲJŲ FUNKCIJŲ VYKDYMO PROGRAMA (atsakingas už programos vykdymą – Finansų skyriaus vedėjas)</t>
  </si>
  <si>
    <t>KAIMO PLĖTROS PROGRAMA (atsakingas už programos vykdymą – Žemės ūkio skyriaus vedėjas)</t>
  </si>
  <si>
    <t>SMULKAUS, VIDUTINIO VERSLO IR TURIZMO SKATINIMO PROGRAMA (atsakingas už programos vykdymą – Investicijų ir strateginio planavimo skyriaus vedėjas)</t>
  </si>
  <si>
    <t>SVEIKATOS IR APLINKOS APSAUGOS PROGRAMA (atsakingas už programos vykdymą – vyriausiasis specialistas (savivaldybės gydytojas))</t>
  </si>
  <si>
    <t>SOCIALINĖS PARAMOS PLĖTROS, SOCIALINĖS ATSKIRTIES MAŽINIMO PROGRAMA (atsakingas už programos vykdymą – Socialinės paramos skyriaus vedėjas)</t>
  </si>
  <si>
    <t>VAIKŲ, JAUNIMO IR SUAUGUSIŲJŲ UGDYMO PROGRAMA (atsakingas už programos vykdymą – Švietimo, kultūros ir sporto skyriaus vedėjas)</t>
  </si>
  <si>
    <t>Jurbarko A. Giedraičio-Giedriaus gatvei rekonstruoti būtinoms, bet projekto nekompensuojamoms išlaidoms dengti</t>
  </si>
  <si>
    <t>Tauragės regiono atliekų tvarkymo sistemai kurti (projekto bendrajam finansavimui vykdyti)</t>
  </si>
  <si>
    <t>Rajono savivaldybės administracijos Finansų skyriui, nuompinigių grąžinimas, iš jų:</t>
  </si>
  <si>
    <t>viešosios įstaigos „Senovinės technikos muziejus“ veiklai finansuoti</t>
  </si>
  <si>
    <t>trumpalaikės ir ilgalaikės socialinės globos paslaugoms (VšĮ „Jurbarko socialinės paslaugos“ Eržvilko filialas)</t>
  </si>
  <si>
    <t>Rajono savivaldybės administracijai (aplinkos apsaugos specialiajai programai), iš jų:</t>
  </si>
  <si>
    <t>Jurbarko r. Veliuonos Antano ir Jono Juškų gimnazijai, iš jų:</t>
  </si>
  <si>
    <t>7.12.</t>
  </si>
  <si>
    <t xml:space="preserve">                            Jurbarko rajono savivaldybės tarybos</t>
  </si>
  <si>
    <t xml:space="preserve">            redakcija)</t>
  </si>
  <si>
    <t xml:space="preserve">            1 priedas</t>
  </si>
  <si>
    <t>Lėšos (Eur)</t>
  </si>
  <si>
    <t>1.1.</t>
  </si>
  <si>
    <t xml:space="preserve">Gyventojų pajamų mokestis, tenkantis savivaldybės biudžetui </t>
  </si>
  <si>
    <t>1.2.</t>
  </si>
  <si>
    <t>Žemės mokestis</t>
  </si>
  <si>
    <t>1.3.</t>
  </si>
  <si>
    <t>Nekilnojamojo turto mokestis</t>
  </si>
  <si>
    <t>1.4.</t>
  </si>
  <si>
    <t>1.5.</t>
  </si>
  <si>
    <t>Dividendai</t>
  </si>
  <si>
    <t>1.6.</t>
  </si>
  <si>
    <t>Nuomos mokestis už valstybinę žemę ir valstybinio vidaus vandenų fondo vandens telkinius</t>
  </si>
  <si>
    <t>1.7.</t>
  </si>
  <si>
    <t>Valstybės rinkliavos</t>
  </si>
  <si>
    <t>1.8.</t>
  </si>
  <si>
    <t>1.9.</t>
  </si>
  <si>
    <t>Kitos neišvardintos pajamos</t>
  </si>
  <si>
    <t>Kitos savivaldybės planuojamos pajamos, iš jų:</t>
  </si>
  <si>
    <t>Vietinės rinkliavos už buitinių atliekų surinkimą</t>
  </si>
  <si>
    <t>Kitos vietinės rinkliavos</t>
  </si>
  <si>
    <t>Materialiojo ir nematerialiojo turto realizavimo pajamos</t>
  </si>
  <si>
    <t>Mokesčiai už valstybinius gamtos išteklius (medžiojamus)</t>
  </si>
  <si>
    <t>Mokesčiai už valstybinius gamtos išteklius (išskyrus medžiojamus)</t>
  </si>
  <si>
    <t>Mokesčiai už aplinkos teršimą</t>
  </si>
  <si>
    <t>Biudžetinių įstaigų pajamos už išlaikymą švietimo, socialinės apsaugos ir kitose įstaigose</t>
  </si>
  <si>
    <t>Valstybinėms (valstybės perduotoms savivaldybėms) funkcijoms vykdyti</t>
  </si>
  <si>
    <t>3.2.</t>
  </si>
  <si>
    <t>3.3.</t>
  </si>
  <si>
    <t>3.4.</t>
  </si>
  <si>
    <t>Lėšos įstaigoms, turinčioms specialiųjų ugdymo poreikių mokinių, finansuoti</t>
  </si>
  <si>
    <t>3.5.</t>
  </si>
  <si>
    <t>Valstybės investicijų programoje numatytiems objektams finansuoti</t>
  </si>
  <si>
    <t>3.6.</t>
  </si>
  <si>
    <t>3.7.</t>
  </si>
  <si>
    <t>3.8.</t>
  </si>
  <si>
    <t>Kelių priežiūros ir plėtros programos lėšos</t>
  </si>
  <si>
    <t xml:space="preserve">Skolinimosi pajamos </t>
  </si>
  <si>
    <t>IŠ VISO PAJAMŲ</t>
  </si>
  <si>
    <t xml:space="preserve">           redakcija)</t>
  </si>
  <si>
    <t xml:space="preserve">            2 priedas</t>
  </si>
  <si>
    <t>Išlaidų pagal parengtas programas pavadinimas</t>
  </si>
  <si>
    <t>Išlaidos pagal parengtas programas iš viso, iš jų:</t>
  </si>
  <si>
    <t>bendrosioms funkcijoms vykdyti</t>
  </si>
  <si>
    <t>kaimo plėtrai</t>
  </si>
  <si>
    <t>smulkiajam, vidutiniam verslui ir turizmui skatinti</t>
  </si>
  <si>
    <t>infrastruktūros objektų priežiūrai, modernizavimui ir plėtrai</t>
  </si>
  <si>
    <t>sveikatos ir aplinkos apsaugai</t>
  </si>
  <si>
    <t>kultūros ir sporto veiklų plėtrai</t>
  </si>
  <si>
    <t>vaikų, jaunimo ir suaugusiųjų ugdymui</t>
  </si>
  <si>
    <t>Savivaldybės biudžeto lėšos, iš jų:</t>
  </si>
  <si>
    <t>išlaidoms</t>
  </si>
  <si>
    <t>darbo užmokesčiui mokėti</t>
  </si>
  <si>
    <t>Lėšos valstybinėms (valstybės perduotoms savivaldybėms) funkcijoms vykdyti, iš jų:</t>
  </si>
  <si>
    <t>Projektams vykdyti ir ilgalaikiam turtui įsigyti iš skolintų lėšų, iš jų:</t>
  </si>
  <si>
    <t>Valstybės investicijų programos objektams finansuoti</t>
  </si>
  <si>
    <t>Pajamų už teikiamas paslaugas (su aplinkos apsaugos rėmimo specialiąja programa ir vietine rinkliava už buitinių atliekų šalinimą) išlaidos, iš jų:</t>
  </si>
  <si>
    <t>Lėšos iš kelių priežiūros ir plėtros programos</t>
  </si>
  <si>
    <t>9.1.</t>
  </si>
  <si>
    <t>9.2.</t>
  </si>
  <si>
    <t xml:space="preserve">            4 priedas</t>
  </si>
  <si>
    <t>SPECIALIOSIOS TIKSLINĖS DOTACIJOS VALSTYBINĖMS (PERDUOTOMS</t>
  </si>
  <si>
    <t xml:space="preserve">SAVIVALDYBĖMS) FUNKCIJOMS VYKDYTI PASKIRSTYMAS </t>
  </si>
  <si>
    <t>Funkcijos pavadinimas</t>
  </si>
  <si>
    <t>Skiriama  suma (Eur)</t>
  </si>
  <si>
    <t>Gyventojų registro tvarkymas ir duomenų teikimas valstybės registrams</t>
  </si>
  <si>
    <t>Duomenų teikimas Suteiktos pagalbos ir nereikšmingos pagalbos registrui</t>
  </si>
  <si>
    <t>Archyvinių dokumentų tvarkymas</t>
  </si>
  <si>
    <t>Valstybinės kalbos vartojimo ir taisyklingumo kontrolė</t>
  </si>
  <si>
    <t>Civilinės būklės aktų registravimas</t>
  </si>
  <si>
    <t>Gyvenamosios vietos deklaravimas</t>
  </si>
  <si>
    <t>Pirminės teisinės pagalbos teikimas</t>
  </si>
  <si>
    <t>Mobilizacijos funkcijos administravimas</t>
  </si>
  <si>
    <t>Civilinės saugos administravimas</t>
  </si>
  <si>
    <t>Priešgaisrinių tarnybų organizavimas</t>
  </si>
  <si>
    <t>Žemės ūkio funkcijų vykdymas</t>
  </si>
  <si>
    <t>Melioracija</t>
  </si>
  <si>
    <t>13.</t>
  </si>
  <si>
    <t>Mokinių visuomenės sveikatos priežiūra ugdymo įstaigose</t>
  </si>
  <si>
    <t>Visuomenės sveikatos stiprinimas ir stebėsena</t>
  </si>
  <si>
    <t>Paramos mirties atveju skaičiavimas ir mokėjimas</t>
  </si>
  <si>
    <t>Vaikų teisių apsauga</t>
  </si>
  <si>
    <t>Jaunimo teisių apsauga</t>
  </si>
  <si>
    <t>Socialinė parama mokiniams</t>
  </si>
  <si>
    <t>Dalyvavimas rengiant ir įgyvendinant darbo rinkos politikos priemones ir gyventojų užimtumo programas</t>
  </si>
  <si>
    <t>Socialinės paslaugos</t>
  </si>
  <si>
    <t>Būsto nuomos ir išperkamosios būsto nuomos mokesčių dalies kompensacijos</t>
  </si>
  <si>
    <t xml:space="preserve">22. </t>
  </si>
  <si>
    <t>Neveiksnių asmenų būklės peržiūrėjimui vykdyti</t>
  </si>
  <si>
    <t>Privalomųjų biologinio saugumo priemonių neversliniuose kiaulininkystės ūkiuose taikymo įvertinimo ir sklaidos apie afrikinį kiaulių marą organizavimo išlaidoms</t>
  </si>
  <si>
    <t>Iš viso:</t>
  </si>
  <si>
    <t xml:space="preserve">                                   __________________________</t>
  </si>
  <si>
    <t xml:space="preserve">                                       2018 m. vasario 22 d. sprendimo Nr. T2-29</t>
  </si>
  <si>
    <t>JURBARKO RAJONO SAVIVALDYBĖS 2018 M. BIUDŽETO PAJAMOS</t>
  </si>
  <si>
    <t>JURBARKO RAJONO SAVIVALDYBĖS 2018 M. BIUDŽETO IŠLAIDOS PAGAL PROGRAMAS</t>
  </si>
  <si>
    <t>2018 m. vasario 22 d. sprendimo Nr. T2-29</t>
  </si>
  <si>
    <t>JURBARKO RAJONO SAVIVALDYBĖS 2018 METŲ BIUDŽETAS</t>
  </si>
  <si>
    <t>Mokesčiai, pajamos ir rinkliavos, nurodyti 2018 metų valstybės biudžeto ir savivaldybių biudžetų finansinių rodiklių patvirtinimo įstatyme, iš jų:</t>
  </si>
  <si>
    <t>Paveldimo turto mokestis</t>
  </si>
  <si>
    <t>Pajamos iš baudų, konfiskuoto turto ir kitų netesybų</t>
  </si>
  <si>
    <t>Biudžetinių ir viešųjų įstaigų pajamos už materialiojo turto nuomą</t>
  </si>
  <si>
    <t>Biudžetinių įstaigų pajamos už prekes ir paslaugas</t>
  </si>
  <si>
    <t>Tikslinės paskirties lėšos, iš jų:</t>
  </si>
  <si>
    <t>Tikslinė dotacija vandentvarkos projektui finansuoti ir privatiems namams prijungti prie nuotekų infrastruktūros</t>
  </si>
  <si>
    <t>Kompensuojamos Europos Sąjungos finansinės paramos lėšos (neformaliajam vaikų švietimui vykdyti)</t>
  </si>
  <si>
    <t>Kompensuojamos Europos Sąjungos finansinės paramos lėšos (projektams)</t>
  </si>
  <si>
    <t>2017 12 31 biudžeto lėšų likučiai, nukreipiami į savivaldybės biudžetą, iš jų:</t>
  </si>
  <si>
    <t>Trumpalaikiams įsiskolinimui dengti</t>
  </si>
  <si>
    <t>Skolintoms lėšoms iš bankų grąžinti</t>
  </si>
  <si>
    <t>Savivaldybės biudžeto reikmėms finansuoti</t>
  </si>
  <si>
    <t>5.4.</t>
  </si>
  <si>
    <t>Aplinkos apsaugos rėmimo specialiajai programai</t>
  </si>
  <si>
    <t>Kitos tikslinės valstybės biudžeto ir Europos Sąjungos finansinės paramos lėšos iš jų:</t>
  </si>
  <si>
    <t>(eurai)</t>
  </si>
  <si>
    <t>Lėšos valstybinėms (perduotoms) savivaldybėms funkcijoms vykdyti / kitos tikslinės lėšos</t>
  </si>
  <si>
    <t>Įstaigų pajamų už teikiamas paslaugas lėšos / vietinė rinkliava už buitinių atliekų šalinimą</t>
  </si>
  <si>
    <t>palūkanoms ir kitiems bankų  mokėjimams tvarkyti</t>
  </si>
  <si>
    <t>6.4.</t>
  </si>
  <si>
    <t>projektui „Panemunės pilies parko tvarkymas ir pritaikymas lankymui“ finansuoti</t>
  </si>
  <si>
    <t>6.5.</t>
  </si>
  <si>
    <t>projektui „Raudonės (rezidencinės) pilies parko tvarkymas ir pritaikymas lankymui“ finansuoti</t>
  </si>
  <si>
    <t>INFRASTRUKTŪROS OBJEKTŲ PRIEŽIŪROS, MODERNIZAVIMO IR PLĖTROS PROGRAMA (atsakingas už programos vykdymą – Infrastruktūros ir turto skyriaus vedėjas)</t>
  </si>
  <si>
    <t>investicijoms į šilumos ūkio modernizavimą Viešvilėje grąžinti (2018 m. dalis)</t>
  </si>
  <si>
    <t>savivaldybės turtui vertinti, kadastrinių matavimų byloms rengti ir nuosavybės teisės įteisinti</t>
  </si>
  <si>
    <t>bešeimininkiams apleistiems pastatams tvarkyti</t>
  </si>
  <si>
    <t>projekto, numatančio privačių namų prijungimą prie nuotekų surinkimo infrastruktūros, bendrajam finansavimui</t>
  </si>
  <si>
    <t>7.13.</t>
  </si>
  <si>
    <t>projektui „Vandens tiekimo ir nuotekų tvarkymo infrastruktūros plėtra Jurbarko rajone“ finansuoti</t>
  </si>
  <si>
    <t>7.14.</t>
  </si>
  <si>
    <t>7.15.</t>
  </si>
  <si>
    <t>pacientų aptarnavimo kokybei gerinti kaimo vietovių  pirminės sveikatos priežiūros įstaigose</t>
  </si>
  <si>
    <t>KULTŪROS IR SPORTO VEIKLŲ PLĖTROS PROGRAMA (atsakingas už programos vykdymą – Švietimo, kultūros ir sporto skyriaus vedėjas)</t>
  </si>
  <si>
    <t>projektui „Jurbarko kultūros centro pastatui modernizuoti ir pritaikyti bendruomenės poreikiams“ finansuoti</t>
  </si>
  <si>
    <t>14.9.</t>
  </si>
  <si>
    <t>sporto klubų veiklos programoms iš dalies finansuoti, iš jų prioritetas – Jurbarko krepšinio komandos dalyvavimas regionų krepšinio lygoje</t>
  </si>
  <si>
    <t>14.10.</t>
  </si>
  <si>
    <t>knygų apie Jurbarką, Viešvilę ir Girdžius leidybai iš dalies finansuoti</t>
  </si>
  <si>
    <t>14.11.</t>
  </si>
  <si>
    <t>aukštų rezultatų pasiekusiems sportininkams, treneriams, kultūros darbuotojams, kolektyvams skatinti</t>
  </si>
  <si>
    <t>kultūros ir sporto įstaigoms remontuoti, ilgalaikio turto įsigijimo išlaidoms</t>
  </si>
  <si>
    <t>suaugusiųjų ir jaunimo sportui aktyvinti</t>
  </si>
  <si>
    <t>43.6.</t>
  </si>
  <si>
    <t>lėšos Naujamiesčio pagrindinės mokyklos sporto aikštynui atnaujinti</t>
  </si>
  <si>
    <t>socialinio būsto fondo plėtrai, būstų įsigijimo išlaidoms</t>
  </si>
  <si>
    <t>socialinių paslaugų šeimoms ir neįgaliesiems plėtrai</t>
  </si>
  <si>
    <t>užimtumo paslaugoms teikti socialiai remtiniems vaikams dienos centruose (Lietuvos samariečių Jurbarko krašto bendrija ir evangelikų liuteronų diakonija „Jurbarko sandora“)</t>
  </si>
  <si>
    <t>projektui „Socialinio būsto plėtra Jurbarko rajono savivaldybėje“ finansuoti</t>
  </si>
  <si>
    <t>užimtumo programai vykdyti</t>
  </si>
  <si>
    <t xml:space="preserve">                                     2018 m. vasario 22 d. sprendimo Nr. T2-29</t>
  </si>
  <si>
    <t>Savivaldybei priskirtos valstybinės žemės ir kito valstybinio turto valdymas, naudojimas ir disponavimas juo patikėjimo teise</t>
  </si>
  <si>
    <t xml:space="preserve">23. </t>
  </si>
  <si>
    <t>vietinėms reikšmės keliams (gatvėms) tiesti, rekons-truoti, taisyti (remontuoti), prižiūrėti ir saugaus eismo sąlygoms užtikrinti pagal savivaldybės Tarybos 2018-03-29 sprendimą Nr.T2-95 ir tikslinis finansavimas</t>
  </si>
  <si>
    <t xml:space="preserve">Savivaldybės erdvinių duomenų rinkinio tvarkymo funkcijai </t>
  </si>
  <si>
    <t>6.6.</t>
  </si>
  <si>
    <t>projektui „Savivaldybes jungiančių turizmo trasų ir turizmo maršrutų infrastruktūros plėtra Jurbarko regione“ finansuoti</t>
  </si>
  <si>
    <t>7.16.</t>
  </si>
  <si>
    <t>projektui „Bešeimininkių apleistų statinių loikvidavimas Jurbarko rajone“ finansuoti</t>
  </si>
  <si>
    <t>7.17.</t>
  </si>
  <si>
    <t>projektui „Gyvenamųjų namų kvartalų kompleksinis sutvarkymas Jurbarko mieste“ finansuoti</t>
  </si>
  <si>
    <t>7.18.</t>
  </si>
  <si>
    <t>11.5.</t>
  </si>
  <si>
    <t>VšĮ Jurbarko ligoninės lauko ir vidaus vandentiekio tinklams remontuoti</t>
  </si>
  <si>
    <t>43.7.</t>
  </si>
  <si>
    <t>lėšos pedagoginių darbuotojų skaičiui optimizuoti</t>
  </si>
  <si>
    <t>43.8.</t>
  </si>
  <si>
    <t>projektui „Ikimokyklinio ir priešmokyklinio ugdymo patalpų įrengimas Eržvilko gimnazijoje“ finansuoti</t>
  </si>
  <si>
    <t>43.9.</t>
  </si>
  <si>
    <t>projektui „Ikimokyklinio ir priešmokyklinio ugdymo prieinamumo didinimas Rotulių lopšelyje-darželyje“ finansuoti</t>
  </si>
  <si>
    <t>45.32</t>
  </si>
  <si>
    <t>projektui „Kompleksinės paslaugos šeimai Jurbarko rajono savivaldybėje“ finansuoti</t>
  </si>
  <si>
    <t>45.33</t>
  </si>
  <si>
    <t>projektui „Socialinių paslaugų įstaigos modernizavimas ir paslaugų plėtra Jurbarko rajone“ finansuoti</t>
  </si>
  <si>
    <t>3.9.</t>
  </si>
  <si>
    <t>Mokymo reikmėms finansuoti</t>
  </si>
  <si>
    <t>____________________</t>
  </si>
  <si>
    <t>socialinės paramos plėtrai, socialinei atskirčiai mažinti</t>
  </si>
  <si>
    <t>Valstybės biudžeto lėšos mokymo reikmėms finansuoti, iš jų:</t>
  </si>
  <si>
    <t>Jurbarko Naujamiesčio progimnazijai</t>
  </si>
  <si>
    <t>Jurbarko Vytauto Didžiojo progimnazijai</t>
  </si>
  <si>
    <t>mokymo reikmių lėšos</t>
  </si>
  <si>
    <t>Mokymo reikmių lėšos/ kelių priežiūros ir plėtros programos lėšos</t>
  </si>
  <si>
    <t>11.6.</t>
  </si>
  <si>
    <t>pacientų aptarnavimo kokybei gerinti VšĮ Jurbarko ligoninėje (medicininei aparatūrai, kraujo kompo-nentams, vaikų ligų skyriui iš dalies finansuoti)</t>
  </si>
  <si>
    <t xml:space="preserve">             redakcija)</t>
  </si>
  <si>
    <t>bendruomeninių šeimos namų įrengimo išlaidoms iš dalies finansuoti (evangelikų liuteronų diakonija „Jurbarko sandora“)</t>
  </si>
  <si>
    <t>Pedagoginių darbuotojų skaičiui optimizuoti, kitos tikslinės lėšos</t>
  </si>
  <si>
    <t xml:space="preserve">                                                                   (2018 m. gruodžio 20 d. sprendimo Nr. T2-</t>
  </si>
  <si>
    <t>2018 m. gruodžio 20 d. sprendimo Nr. T2-    redakcija</t>
  </si>
  <si>
    <t>6.7.</t>
  </si>
  <si>
    <t>projektui „Nemuno kelias“ finansuoti</t>
  </si>
  <si>
    <t>projektui „A. Giedaričio-Giedriaus gatvės rekonstravimas Jurbarko mieste“ finansuoti</t>
  </si>
  <si>
    <t>14.12.</t>
  </si>
  <si>
    <t>projektui „Mažosios Lietuvos Jurbarko krašto kultūros centro aktualizavimas“ finansuoti</t>
  </si>
  <si>
    <r>
      <t xml:space="preserve">Jurbarko švietimo centrui </t>
    </r>
    <r>
      <rPr>
        <sz val="11"/>
        <rFont val="Times New Roman"/>
        <family val="1"/>
      </rPr>
      <t>(iš jų 3000 Eur suaugusiųjų švietimo programoms)</t>
    </r>
  </si>
  <si>
    <t>43.10</t>
  </si>
  <si>
    <t>projektui „Jurbarko Antano Sodeikos meno mokyklos atnaujinimas ir pritaikymas neformaliajam ugdymui“ finansuoti</t>
  </si>
  <si>
    <t>45.34.</t>
  </si>
  <si>
    <t xml:space="preserve">                                                             (2018 m. gruodžio 20 d. sprendimo Nr. T2-</t>
  </si>
  <si>
    <t xml:space="preserve">_________________________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</si>
</sst>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[$-427]yyyy\ &quot;m.&quot;\ mmmm\ d\ &quot;d.&quot;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Arial"/>
      <family val="2"/>
    </font>
    <font>
      <b/>
      <sz val="10.8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7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  <font>
      <sz val="7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4" applyNumberFormat="0" applyAlignment="0" applyProtection="0"/>
    <xf numFmtId="0" fontId="6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6" fillId="0" borderId="0" xfId="0" applyNumberFormat="1" applyFont="1" applyAlignment="1">
      <alignment horizontal="right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16" fontId="11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6" fontId="15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1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" fontId="1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9" fillId="0" borderId="1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1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11" fillId="0" borderId="13" xfId="0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wrapText="1"/>
    </xf>
    <xf numFmtId="16" fontId="11" fillId="0" borderId="10" xfId="0" applyNumberFormat="1" applyFont="1" applyBorder="1" applyAlignment="1">
      <alignment horizontal="right" wrapText="1"/>
    </xf>
    <xf numFmtId="17" fontId="11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9" fillId="0" borderId="10" xfId="0" applyNumberFormat="1" applyFont="1" applyBorder="1" applyAlignment="1">
      <alignment horizontal="right" wrapText="1"/>
    </xf>
    <xf numFmtId="0" fontId="20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21" fillId="0" borderId="0" xfId="0" applyFont="1" applyAlignment="1">
      <alignment horizontal="right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wrapText="1"/>
    </xf>
    <xf numFmtId="0" fontId="21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vertical="center" wrapText="1"/>
    </xf>
    <xf numFmtId="0" fontId="71" fillId="0" borderId="10" xfId="0" applyFont="1" applyBorder="1" applyAlignment="1">
      <alignment vertical="center"/>
    </xf>
    <xf numFmtId="0" fontId="72" fillId="0" borderId="0" xfId="0" applyFont="1" applyAlignment="1">
      <alignment/>
    </xf>
    <xf numFmtId="16" fontId="73" fillId="0" borderId="10" xfId="0" applyNumberFormat="1" applyFont="1" applyBorder="1" applyAlignment="1">
      <alignment horizontal="right"/>
    </xf>
    <xf numFmtId="0" fontId="70" fillId="0" borderId="10" xfId="0" applyFont="1" applyFill="1" applyBorder="1" applyAlignment="1">
      <alignment wrapText="1"/>
    </xf>
    <xf numFmtId="0" fontId="74" fillId="0" borderId="10" xfId="0" applyFont="1" applyBorder="1" applyAlignment="1">
      <alignment horizontal="right"/>
    </xf>
    <xf numFmtId="0" fontId="70" fillId="0" borderId="10" xfId="0" applyFont="1" applyFill="1" applyBorder="1" applyAlignment="1">
      <alignment horizontal="right"/>
    </xf>
    <xf numFmtId="0" fontId="70" fillId="0" borderId="10" xfId="0" applyFont="1" applyBorder="1" applyAlignment="1">
      <alignment horizontal="right"/>
    </xf>
    <xf numFmtId="0" fontId="73" fillId="0" borderId="10" xfId="0" applyNumberFormat="1" applyFont="1" applyBorder="1" applyAlignment="1">
      <alignment horizontal="right"/>
    </xf>
    <xf numFmtId="0" fontId="70" fillId="0" borderId="10" xfId="0" applyFont="1" applyFill="1" applyBorder="1" applyAlignment="1">
      <alignment horizontal="left" wrapText="1"/>
    </xf>
    <xf numFmtId="0" fontId="70" fillId="0" borderId="0" xfId="0" applyFont="1" applyAlignment="1">
      <alignment/>
    </xf>
    <xf numFmtId="0" fontId="74" fillId="0" borderId="10" xfId="0" applyFont="1" applyFill="1" applyBorder="1" applyAlignment="1">
      <alignment wrapText="1"/>
    </xf>
    <xf numFmtId="0" fontId="70" fillId="0" borderId="10" xfId="0" applyFont="1" applyFill="1" applyBorder="1" applyAlignment="1">
      <alignment horizontal="right" wrapText="1"/>
    </xf>
    <xf numFmtId="0" fontId="70" fillId="0" borderId="10" xfId="0" applyFont="1" applyBorder="1" applyAlignment="1">
      <alignment horizontal="right" wrapText="1"/>
    </xf>
    <xf numFmtId="0" fontId="74" fillId="0" borderId="10" xfId="0" applyFont="1" applyBorder="1" applyAlignment="1">
      <alignment horizontal="right" wrapText="1"/>
    </xf>
    <xf numFmtId="0" fontId="74" fillId="0" borderId="10" xfId="0" applyNumberFormat="1" applyFont="1" applyBorder="1" applyAlignment="1">
      <alignment horizontal="right" wrapText="1"/>
    </xf>
    <xf numFmtId="0" fontId="71" fillId="0" borderId="0" xfId="0" applyFont="1" applyAlignment="1">
      <alignment wrapText="1"/>
    </xf>
    <xf numFmtId="0" fontId="73" fillId="0" borderId="10" xfId="0" applyNumberFormat="1" applyFont="1" applyBorder="1" applyAlignment="1">
      <alignment horizontal="right" wrapText="1"/>
    </xf>
    <xf numFmtId="0" fontId="75" fillId="0" borderId="10" xfId="0" applyFont="1" applyFill="1" applyBorder="1" applyAlignment="1">
      <alignment wrapText="1"/>
    </xf>
    <xf numFmtId="0" fontId="76" fillId="0" borderId="10" xfId="0" applyNumberFormat="1" applyFont="1" applyBorder="1" applyAlignment="1">
      <alignment horizontal="right" wrapText="1"/>
    </xf>
    <xf numFmtId="0" fontId="74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right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top" wrapText="1"/>
    </xf>
    <xf numFmtId="0" fontId="71" fillId="0" borderId="10" xfId="0" applyFont="1" applyBorder="1" applyAlignment="1">
      <alignment horizontal="right" vertical="center" wrapText="1"/>
    </xf>
    <xf numFmtId="0" fontId="71" fillId="0" borderId="10" xfId="0" applyFont="1" applyFill="1" applyBorder="1" applyAlignment="1">
      <alignment horizontal="right" vertical="center" wrapText="1"/>
    </xf>
    <xf numFmtId="0" fontId="77" fillId="0" borderId="10" xfId="0" applyFont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73" fillId="0" borderId="10" xfId="0" applyNumberFormat="1" applyFont="1" applyFill="1" applyBorder="1" applyAlignment="1">
      <alignment horizontal="right"/>
    </xf>
    <xf numFmtId="0" fontId="11" fillId="0" borderId="11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11" fillId="0" borderId="10" xfId="0" applyNumberFormat="1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10" xfId="0" applyNumberFormat="1" applyFont="1" applyBorder="1" applyAlignment="1">
      <alignment horizontal="right"/>
    </xf>
    <xf numFmtId="0" fontId="7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16" fontId="78" fillId="0" borderId="10" xfId="0" applyNumberFormat="1" applyFont="1" applyBorder="1" applyAlignment="1">
      <alignment horizontal="right"/>
    </xf>
    <xf numFmtId="0" fontId="70" fillId="0" borderId="0" xfId="0" applyFont="1" applyAlignment="1">
      <alignment horizontal="left"/>
    </xf>
    <xf numFmtId="0" fontId="10" fillId="0" borderId="10" xfId="0" applyNumberFormat="1" applyFont="1" applyBorder="1" applyAlignment="1">
      <alignment horizontal="right"/>
    </xf>
    <xf numFmtId="0" fontId="22" fillId="0" borderId="10" xfId="0" applyFont="1" applyFill="1" applyBorder="1" applyAlignment="1">
      <alignment wrapText="1"/>
    </xf>
    <xf numFmtId="0" fontId="79" fillId="0" borderId="0" xfId="0" applyFont="1" applyAlignment="1">
      <alignment/>
    </xf>
    <xf numFmtId="0" fontId="77" fillId="0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9" fillId="0" borderId="14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16" fontId="73" fillId="0" borderId="13" xfId="0" applyNumberFormat="1" applyFont="1" applyBorder="1" applyAlignment="1">
      <alignment horizontal="right"/>
    </xf>
    <xf numFmtId="0" fontId="70" fillId="0" borderId="10" xfId="0" applyFont="1" applyBorder="1" applyAlignment="1">
      <alignment wrapText="1"/>
    </xf>
    <xf numFmtId="0" fontId="70" fillId="0" borderId="13" xfId="0" applyFont="1" applyBorder="1" applyAlignment="1">
      <alignment horizontal="right"/>
    </xf>
    <xf numFmtId="0" fontId="74" fillId="0" borderId="13" xfId="0" applyFont="1" applyBorder="1" applyAlignment="1">
      <alignment horizontal="right"/>
    </xf>
    <xf numFmtId="0" fontId="70" fillId="0" borderId="15" xfId="0" applyFont="1" applyBorder="1" applyAlignment="1">
      <alignment wrapText="1"/>
    </xf>
    <xf numFmtId="16" fontId="73" fillId="0" borderId="11" xfId="0" applyNumberFormat="1" applyFont="1" applyBorder="1" applyAlignment="1">
      <alignment horizontal="right"/>
    </xf>
    <xf numFmtId="0" fontId="70" fillId="0" borderId="0" xfId="0" applyFont="1" applyAlignment="1">
      <alignment wrapText="1"/>
    </xf>
    <xf numFmtId="0" fontId="70" fillId="0" borderId="11" xfId="0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23" fillId="0" borderId="10" xfId="0" applyFont="1" applyFill="1" applyBorder="1" applyAlignment="1">
      <alignment wrapText="1"/>
    </xf>
    <xf numFmtId="0" fontId="70" fillId="0" borderId="16" xfId="0" applyFont="1" applyFill="1" applyBorder="1" applyAlignment="1">
      <alignment horizontal="left" wrapText="1"/>
    </xf>
    <xf numFmtId="0" fontId="70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80" fillId="0" borderId="0" xfId="0" applyFont="1" applyAlignment="1">
      <alignment/>
    </xf>
    <xf numFmtId="0" fontId="74" fillId="0" borderId="10" xfId="0" applyFont="1" applyFill="1" applyBorder="1" applyAlignment="1">
      <alignment horizontal="right"/>
    </xf>
    <xf numFmtId="0" fontId="70" fillId="0" borderId="12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B52" sqref="B52"/>
    </sheetView>
  </sheetViews>
  <sheetFormatPr defaultColWidth="9.140625" defaultRowHeight="12.75"/>
  <cols>
    <col min="1" max="1" width="6.00390625" style="27" customWidth="1"/>
    <col min="2" max="2" width="73.8515625" style="23" customWidth="1"/>
    <col min="3" max="3" width="13.8515625" style="23" customWidth="1"/>
    <col min="4" max="4" width="2.7109375" style="23" customWidth="1"/>
    <col min="5" max="16384" width="9.140625" style="23" customWidth="1"/>
  </cols>
  <sheetData>
    <row r="1" spans="2:3" ht="15.75">
      <c r="B1" s="191" t="s">
        <v>371</v>
      </c>
      <c r="C1" s="191"/>
    </row>
    <row r="2" spans="2:3" ht="15.75">
      <c r="B2" s="191" t="s">
        <v>465</v>
      </c>
      <c r="C2" s="191"/>
    </row>
    <row r="3" spans="1:3" ht="15.75">
      <c r="A3" s="31"/>
      <c r="B3" s="25" t="s">
        <v>570</v>
      </c>
      <c r="C3" s="25"/>
    </row>
    <row r="4" spans="1:3" ht="15.75">
      <c r="A4" s="31"/>
      <c r="B4" s="25" t="s">
        <v>372</v>
      </c>
      <c r="C4" s="25"/>
    </row>
    <row r="5" spans="2:3" ht="15.75">
      <c r="B5" s="25" t="s">
        <v>373</v>
      </c>
      <c r="C5" s="26"/>
    </row>
    <row r="6" spans="2:3" ht="18.75" customHeight="1">
      <c r="B6" s="26"/>
      <c r="C6" s="26"/>
    </row>
    <row r="7" spans="2:3" ht="18" customHeight="1">
      <c r="B7" s="106"/>
      <c r="C7" s="106"/>
    </row>
    <row r="8" spans="1:3" ht="15.75">
      <c r="A8" s="192" t="s">
        <v>466</v>
      </c>
      <c r="B8" s="192"/>
      <c r="C8" s="192"/>
    </row>
    <row r="9" ht="25.5" customHeight="1"/>
    <row r="10" spans="1:3" ht="28.5" customHeight="1">
      <c r="A10" s="28" t="s">
        <v>56</v>
      </c>
      <c r="B10" s="28" t="s">
        <v>57</v>
      </c>
      <c r="C10" s="28" t="s">
        <v>374</v>
      </c>
    </row>
    <row r="11" spans="1:3" ht="34.5" customHeight="1">
      <c r="A11" s="28" t="s">
        <v>69</v>
      </c>
      <c r="B11" s="41" t="s">
        <v>470</v>
      </c>
      <c r="C11" s="42">
        <f>SUM(C12:C20)</f>
        <v>14630410</v>
      </c>
    </row>
    <row r="12" spans="1:3" ht="17.25" customHeight="1">
      <c r="A12" s="43" t="s">
        <v>375</v>
      </c>
      <c r="B12" s="44" t="s">
        <v>376</v>
      </c>
      <c r="C12" s="45">
        <f>13904000+8410</f>
        <v>13912410</v>
      </c>
    </row>
    <row r="13" spans="1:3" ht="17.25" customHeight="1">
      <c r="A13" s="43" t="s">
        <v>377</v>
      </c>
      <c r="B13" s="44" t="s">
        <v>378</v>
      </c>
      <c r="C13" s="45">
        <v>350000</v>
      </c>
    </row>
    <row r="14" spans="1:3" ht="17.25" customHeight="1">
      <c r="A14" s="43" t="s">
        <v>379</v>
      </c>
      <c r="B14" s="44" t="s">
        <v>380</v>
      </c>
      <c r="C14" s="45">
        <v>190000</v>
      </c>
    </row>
    <row r="15" spans="1:3" ht="17.25" customHeight="1">
      <c r="A15" s="43" t="s">
        <v>381</v>
      </c>
      <c r="B15" s="44" t="s">
        <v>471</v>
      </c>
      <c r="C15" s="45">
        <v>7000</v>
      </c>
    </row>
    <row r="16" spans="1:3" ht="17.25" customHeight="1">
      <c r="A16" s="43" t="s">
        <v>382</v>
      </c>
      <c r="B16" s="44" t="s">
        <v>383</v>
      </c>
      <c r="C16" s="45">
        <v>30000</v>
      </c>
    </row>
    <row r="17" spans="1:3" ht="30" customHeight="1">
      <c r="A17" s="43" t="s">
        <v>384</v>
      </c>
      <c r="B17" s="44" t="s">
        <v>385</v>
      </c>
      <c r="C17" s="45">
        <v>88000</v>
      </c>
    </row>
    <row r="18" spans="1:3" ht="17.25" customHeight="1">
      <c r="A18" s="43" t="s">
        <v>386</v>
      </c>
      <c r="B18" s="44" t="s">
        <v>387</v>
      </c>
      <c r="C18" s="46">
        <v>35000</v>
      </c>
    </row>
    <row r="19" spans="1:3" ht="17.25" customHeight="1">
      <c r="A19" s="43" t="s">
        <v>388</v>
      </c>
      <c r="B19" s="47" t="s">
        <v>472</v>
      </c>
      <c r="C19" s="48">
        <v>13000</v>
      </c>
    </row>
    <row r="20" spans="1:3" ht="17.25" customHeight="1">
      <c r="A20" s="43" t="s">
        <v>389</v>
      </c>
      <c r="B20" s="44" t="s">
        <v>390</v>
      </c>
      <c r="C20" s="45">
        <v>5000</v>
      </c>
    </row>
    <row r="21" spans="1:3" ht="17.25" customHeight="1">
      <c r="A21" s="28" t="s">
        <v>68</v>
      </c>
      <c r="B21" s="41" t="s">
        <v>391</v>
      </c>
      <c r="C21" s="42">
        <f>SUM(C22:C30)</f>
        <v>1460650</v>
      </c>
    </row>
    <row r="22" spans="1:3" ht="17.25" customHeight="1">
      <c r="A22" s="43" t="s">
        <v>62</v>
      </c>
      <c r="B22" s="44" t="s">
        <v>392</v>
      </c>
      <c r="C22" s="45">
        <v>700000</v>
      </c>
    </row>
    <row r="23" spans="1:3" ht="17.25" customHeight="1">
      <c r="A23" s="43" t="s">
        <v>63</v>
      </c>
      <c r="B23" s="44" t="s">
        <v>393</v>
      </c>
      <c r="C23" s="46">
        <v>6000</v>
      </c>
    </row>
    <row r="24" spans="1:3" ht="17.25" customHeight="1">
      <c r="A24" s="43" t="s">
        <v>64</v>
      </c>
      <c r="B24" s="44" t="s">
        <v>394</v>
      </c>
      <c r="C24" s="45">
        <f>59000+20000</f>
        <v>79000</v>
      </c>
    </row>
    <row r="25" spans="1:3" ht="17.25" customHeight="1">
      <c r="A25" s="43" t="s">
        <v>65</v>
      </c>
      <c r="B25" s="44" t="s">
        <v>395</v>
      </c>
      <c r="C25" s="45">
        <f>20000+4000</f>
        <v>24000</v>
      </c>
    </row>
    <row r="26" spans="1:3" ht="17.25" customHeight="1">
      <c r="A26" s="43" t="s">
        <v>66</v>
      </c>
      <c r="B26" s="44" t="s">
        <v>396</v>
      </c>
      <c r="C26" s="45">
        <f>22000+2000</f>
        <v>24000</v>
      </c>
    </row>
    <row r="27" spans="1:3" ht="17.25" customHeight="1">
      <c r="A27" s="43" t="s">
        <v>67</v>
      </c>
      <c r="B27" s="44" t="s">
        <v>397</v>
      </c>
      <c r="C27" s="45">
        <f>22000+7000</f>
        <v>29000</v>
      </c>
    </row>
    <row r="28" spans="1:3" ht="17.25" customHeight="1">
      <c r="A28" s="43" t="s">
        <v>82</v>
      </c>
      <c r="B28" s="44" t="s">
        <v>473</v>
      </c>
      <c r="C28" s="45">
        <f>139320+420+1000-1500</f>
        <v>139240</v>
      </c>
    </row>
    <row r="29" spans="1:3" ht="17.25" customHeight="1">
      <c r="A29" s="43" t="s">
        <v>83</v>
      </c>
      <c r="B29" s="44" t="s">
        <v>474</v>
      </c>
      <c r="C29" s="45">
        <f>98550+1000+800+1000+200+300-8500</f>
        <v>93350</v>
      </c>
    </row>
    <row r="30" spans="1:3" ht="17.25" customHeight="1">
      <c r="A30" s="43" t="s">
        <v>84</v>
      </c>
      <c r="B30" s="187" t="s">
        <v>398</v>
      </c>
      <c r="C30" s="45">
        <f>361260+670+1500+4630-2000</f>
        <v>366060</v>
      </c>
    </row>
    <row r="31" spans="1:3" ht="17.25" customHeight="1">
      <c r="A31" s="28" t="s">
        <v>70</v>
      </c>
      <c r="B31" s="41" t="s">
        <v>475</v>
      </c>
      <c r="C31" s="42">
        <f>SUM(C32:C40)</f>
        <v>11589002</v>
      </c>
    </row>
    <row r="32" spans="1:3" ht="17.25" customHeight="1">
      <c r="A32" s="141" t="s">
        <v>87</v>
      </c>
      <c r="B32" s="146" t="s">
        <v>399</v>
      </c>
      <c r="C32" s="143">
        <f>2130861-8000</f>
        <v>2122861</v>
      </c>
    </row>
    <row r="33" spans="1:3" ht="17.25" customHeight="1">
      <c r="A33" s="43" t="s">
        <v>400</v>
      </c>
      <c r="B33" s="44" t="s">
        <v>546</v>
      </c>
      <c r="C33" s="45">
        <f>5715500+114400</f>
        <v>5829900</v>
      </c>
    </row>
    <row r="34" spans="1:3" ht="17.25" customHeight="1">
      <c r="A34" s="43" t="s">
        <v>401</v>
      </c>
      <c r="B34" s="44" t="s">
        <v>403</v>
      </c>
      <c r="C34" s="45">
        <v>15600</v>
      </c>
    </row>
    <row r="35" spans="1:3" ht="32.25" customHeight="1">
      <c r="A35" s="43" t="s">
        <v>402</v>
      </c>
      <c r="B35" s="44" t="s">
        <v>476</v>
      </c>
      <c r="C35" s="45">
        <f>158000+45500</f>
        <v>203500</v>
      </c>
    </row>
    <row r="36" spans="1:3" ht="30.75" customHeight="1">
      <c r="A36" s="43" t="s">
        <v>404</v>
      </c>
      <c r="B36" s="44" t="s">
        <v>477</v>
      </c>
      <c r="C36" s="45">
        <f>96172+2319</f>
        <v>98491</v>
      </c>
    </row>
    <row r="37" spans="1:3" ht="17.25" customHeight="1">
      <c r="A37" s="141" t="s">
        <v>406</v>
      </c>
      <c r="B37" s="146" t="s">
        <v>478</v>
      </c>
      <c r="C37" s="143">
        <f>1179996+516573</f>
        <v>1696569</v>
      </c>
    </row>
    <row r="38" spans="1:3" ht="17.25" customHeight="1">
      <c r="A38" s="43" t="s">
        <v>407</v>
      </c>
      <c r="B38" s="44" t="s">
        <v>405</v>
      </c>
      <c r="C38" s="45">
        <f>232000</f>
        <v>232000</v>
      </c>
    </row>
    <row r="39" spans="1:3" ht="17.25" customHeight="1">
      <c r="A39" s="141" t="s">
        <v>408</v>
      </c>
      <c r="B39" s="146" t="s">
        <v>409</v>
      </c>
      <c r="C39" s="143">
        <f>1385200-40000</f>
        <v>1345200</v>
      </c>
    </row>
    <row r="40" spans="1:3" s="121" customFormat="1" ht="17.25" customHeight="1">
      <c r="A40" s="43" t="s">
        <v>545</v>
      </c>
      <c r="B40" s="44" t="s">
        <v>558</v>
      </c>
      <c r="C40" s="45">
        <f>40081+4800</f>
        <v>44881</v>
      </c>
    </row>
    <row r="41" spans="1:3" ht="18.75" customHeight="1">
      <c r="A41" s="28" t="s">
        <v>71</v>
      </c>
      <c r="B41" s="41" t="s">
        <v>410</v>
      </c>
      <c r="C41" s="42">
        <v>641100</v>
      </c>
    </row>
    <row r="42" spans="1:3" ht="18.75" customHeight="1">
      <c r="A42" s="28" t="s">
        <v>72</v>
      </c>
      <c r="B42" s="41" t="s">
        <v>479</v>
      </c>
      <c r="C42" s="42">
        <f>SUM(C43:C46)</f>
        <v>1419757</v>
      </c>
    </row>
    <row r="43" spans="1:3" ht="17.25" customHeight="1">
      <c r="A43" s="43" t="s">
        <v>60</v>
      </c>
      <c r="B43" s="44" t="s">
        <v>480</v>
      </c>
      <c r="C43" s="49">
        <v>242161</v>
      </c>
    </row>
    <row r="44" spans="1:3" ht="17.25" customHeight="1">
      <c r="A44" s="43" t="s">
        <v>61</v>
      </c>
      <c r="B44" s="44" t="s">
        <v>481</v>
      </c>
      <c r="C44" s="49">
        <f>878300-37700</f>
        <v>840600</v>
      </c>
    </row>
    <row r="45" spans="1:3" s="22" customFormat="1" ht="17.25" customHeight="1">
      <c r="A45" s="43" t="s">
        <v>259</v>
      </c>
      <c r="B45" s="44" t="s">
        <v>482</v>
      </c>
      <c r="C45" s="49">
        <f>293939+25249</f>
        <v>319188</v>
      </c>
    </row>
    <row r="46" spans="1:3" s="22" customFormat="1" ht="17.25" customHeight="1">
      <c r="A46" s="43" t="s">
        <v>483</v>
      </c>
      <c r="B46" s="44" t="s">
        <v>484</v>
      </c>
      <c r="C46" s="49">
        <v>17808</v>
      </c>
    </row>
    <row r="47" spans="1:3" ht="17.25" customHeight="1">
      <c r="A47" s="28"/>
      <c r="B47" s="41" t="s">
        <v>411</v>
      </c>
      <c r="C47" s="42">
        <f>C11+C21+C31+C41+C42</f>
        <v>29740919</v>
      </c>
    </row>
    <row r="48" spans="1:3" s="22" customFormat="1" ht="17.25" customHeight="1">
      <c r="A48" s="27"/>
      <c r="B48" s="24" t="s">
        <v>547</v>
      </c>
      <c r="C48" s="23"/>
    </row>
    <row r="49" spans="1:3" s="22" customFormat="1" ht="17.25" customHeight="1">
      <c r="A49" s="27"/>
      <c r="B49" s="29"/>
      <c r="C49" s="23"/>
    </row>
    <row r="50" spans="1:3" s="22" customFormat="1" ht="13.5" customHeight="1">
      <c r="A50" s="147"/>
      <c r="B50" s="29"/>
      <c r="C50" s="23"/>
    </row>
    <row r="51" ht="14.25">
      <c r="B51" s="29"/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Zeros="0" zoomScalePageLayoutView="0" workbookViewId="0" topLeftCell="A1">
      <selection activeCell="C19" sqref="C19"/>
    </sheetView>
  </sheetViews>
  <sheetFormatPr defaultColWidth="9.140625" defaultRowHeight="12.75"/>
  <cols>
    <col min="1" max="1" width="6.00390625" style="31" customWidth="1"/>
    <col min="2" max="2" width="71.00390625" style="23" customWidth="1"/>
    <col min="3" max="3" width="15.00390625" style="32" customWidth="1"/>
    <col min="4" max="16384" width="9.140625" style="23" customWidth="1"/>
  </cols>
  <sheetData>
    <row r="1" spans="2:3" ht="15.75">
      <c r="B1" s="191" t="s">
        <v>371</v>
      </c>
      <c r="C1" s="191"/>
    </row>
    <row r="2" spans="2:3" ht="15.75">
      <c r="B2" s="191" t="s">
        <v>465</v>
      </c>
      <c r="C2" s="191"/>
    </row>
    <row r="3" spans="2:3" ht="15.75">
      <c r="B3" s="25" t="s">
        <v>570</v>
      </c>
      <c r="C3" s="25"/>
    </row>
    <row r="4" spans="2:3" ht="15.75">
      <c r="B4" s="25" t="s">
        <v>412</v>
      </c>
      <c r="C4" s="25"/>
    </row>
    <row r="5" spans="2:3" ht="15.75">
      <c r="B5" s="25" t="s">
        <v>413</v>
      </c>
      <c r="C5" s="30"/>
    </row>
    <row r="6" spans="2:3" ht="10.5" customHeight="1">
      <c r="B6" s="26"/>
      <c r="C6" s="30"/>
    </row>
    <row r="7" spans="2:3" ht="17.25" customHeight="1">
      <c r="B7" s="106"/>
      <c r="C7" s="112"/>
    </row>
    <row r="8" spans="1:3" ht="31.5" customHeight="1">
      <c r="A8" s="193" t="s">
        <v>467</v>
      </c>
      <c r="B8" s="193"/>
      <c r="C8" s="193"/>
    </row>
    <row r="9" ht="18.75" customHeight="1"/>
    <row r="10" spans="1:3" ht="28.5" customHeight="1">
      <c r="A10" s="28" t="s">
        <v>56</v>
      </c>
      <c r="B10" s="28" t="s">
        <v>414</v>
      </c>
      <c r="C10" s="28" t="s">
        <v>374</v>
      </c>
    </row>
    <row r="11" spans="1:3" ht="15.75">
      <c r="A11" s="28" t="s">
        <v>69</v>
      </c>
      <c r="B11" s="148" t="s">
        <v>415</v>
      </c>
      <c r="C11" s="42">
        <f>SUM(C12:C19)</f>
        <v>29740919</v>
      </c>
    </row>
    <row r="12" spans="1:3" ht="15.75">
      <c r="A12" s="43" t="s">
        <v>375</v>
      </c>
      <c r="B12" s="50" t="s">
        <v>416</v>
      </c>
      <c r="C12" s="45">
        <f>4078406+75+4000-6200</f>
        <v>4076281</v>
      </c>
    </row>
    <row r="13" spans="1:3" ht="15.75">
      <c r="A13" s="43" t="s">
        <v>377</v>
      </c>
      <c r="B13" s="50" t="s">
        <v>417</v>
      </c>
      <c r="C13" s="51">
        <f>293200</f>
        <v>293200</v>
      </c>
    </row>
    <row r="14" spans="1:3" ht="15.75">
      <c r="A14" s="141" t="s">
        <v>379</v>
      </c>
      <c r="B14" s="142" t="s">
        <v>418</v>
      </c>
      <c r="C14" s="144">
        <f>644547+87430+47623-4000</f>
        <v>775600</v>
      </c>
    </row>
    <row r="15" spans="1:3" ht="15.75">
      <c r="A15" s="141" t="s">
        <v>381</v>
      </c>
      <c r="B15" s="142" t="s">
        <v>419</v>
      </c>
      <c r="C15" s="144">
        <f>4167450-40000+144860+18538</f>
        <v>4290848</v>
      </c>
    </row>
    <row r="16" spans="1:3" ht="15.75">
      <c r="A16" s="43" t="s">
        <v>382</v>
      </c>
      <c r="B16" s="50" t="s">
        <v>420</v>
      </c>
      <c r="C16" s="51">
        <f>1102005+1000+25249+54751-45000+4800+6200</f>
        <v>1149005</v>
      </c>
    </row>
    <row r="17" spans="1:3" ht="15.75">
      <c r="A17" s="141" t="s">
        <v>384</v>
      </c>
      <c r="B17" s="142" t="s">
        <v>421</v>
      </c>
      <c r="C17" s="144">
        <f>2796008+7239+4000+1000</f>
        <v>2808247</v>
      </c>
    </row>
    <row r="18" spans="1:3" ht="15.75">
      <c r="A18" s="141" t="s">
        <v>386</v>
      </c>
      <c r="B18" s="142" t="s">
        <v>422</v>
      </c>
      <c r="C18" s="144">
        <f>11855817+104022+17086-1000</f>
        <v>11975925</v>
      </c>
    </row>
    <row r="19" spans="1:3" ht="15.75" customHeight="1">
      <c r="A19" s="141" t="s">
        <v>388</v>
      </c>
      <c r="B19" s="142" t="s">
        <v>548</v>
      </c>
      <c r="C19" s="144">
        <f>4290038+71121+18654-8000</f>
        <v>4371813</v>
      </c>
    </row>
    <row r="20" spans="1:3" ht="15.75">
      <c r="A20" s="28" t="s">
        <v>68</v>
      </c>
      <c r="B20" s="41" t="s">
        <v>423</v>
      </c>
      <c r="C20" s="42">
        <f>16092110+25249</f>
        <v>16117359</v>
      </c>
    </row>
    <row r="21" spans="1:3" s="158" customFormat="1" ht="15.75">
      <c r="A21" s="156" t="s">
        <v>62</v>
      </c>
      <c r="B21" s="157" t="s">
        <v>424</v>
      </c>
      <c r="C21" s="51">
        <f>C20-C23-C24</f>
        <v>14670739</v>
      </c>
    </row>
    <row r="22" spans="1:3" s="121" customFormat="1" ht="15.75">
      <c r="A22" s="43" t="s">
        <v>63</v>
      </c>
      <c r="B22" s="44" t="s">
        <v>425</v>
      </c>
      <c r="C22" s="45">
        <f>6031280+935+4340+1034+1660+1120+1920-1000-3700</f>
        <v>6037589</v>
      </c>
    </row>
    <row r="23" spans="1:3" s="121" customFormat="1" ht="15.75">
      <c r="A23" s="141" t="s">
        <v>64</v>
      </c>
      <c r="B23" s="146" t="s">
        <v>26</v>
      </c>
      <c r="C23" s="143">
        <f>599113+6907</f>
        <v>606020</v>
      </c>
    </row>
    <row r="24" spans="1:3" ht="15.75">
      <c r="A24" s="43" t="s">
        <v>65</v>
      </c>
      <c r="B24" s="44" t="s">
        <v>351</v>
      </c>
      <c r="C24" s="45">
        <f>840600</f>
        <v>840600</v>
      </c>
    </row>
    <row r="25" spans="1:3" s="121" customFormat="1" ht="31.5">
      <c r="A25" s="139" t="s">
        <v>70</v>
      </c>
      <c r="B25" s="145" t="s">
        <v>426</v>
      </c>
      <c r="C25" s="140">
        <f>2130861-8000</f>
        <v>2122861</v>
      </c>
    </row>
    <row r="26" spans="1:3" s="121" customFormat="1" ht="15.75">
      <c r="A26" s="43" t="s">
        <v>87</v>
      </c>
      <c r="B26" s="44" t="s">
        <v>424</v>
      </c>
      <c r="C26" s="45">
        <f>C25-C28</f>
        <v>2122012</v>
      </c>
    </row>
    <row r="27" spans="1:3" ht="15.75">
      <c r="A27" s="43" t="s">
        <v>400</v>
      </c>
      <c r="B27" s="44" t="s">
        <v>425</v>
      </c>
      <c r="C27" s="45">
        <f>709862-6100</f>
        <v>703762</v>
      </c>
    </row>
    <row r="28" spans="1:3" ht="15.75">
      <c r="A28" s="43" t="s">
        <v>401</v>
      </c>
      <c r="B28" s="44" t="s">
        <v>26</v>
      </c>
      <c r="C28" s="51">
        <v>849</v>
      </c>
    </row>
    <row r="29" spans="1:3" ht="15.75" customHeight="1">
      <c r="A29" s="28" t="s">
        <v>71</v>
      </c>
      <c r="B29" s="41" t="s">
        <v>549</v>
      </c>
      <c r="C29" s="42">
        <f>5715500+114400</f>
        <v>5829900</v>
      </c>
    </row>
    <row r="30" spans="1:3" ht="15.75">
      <c r="A30" s="43" t="s">
        <v>58</v>
      </c>
      <c r="B30" s="44" t="s">
        <v>424</v>
      </c>
      <c r="C30" s="45">
        <f>C29-C32</f>
        <v>5801008</v>
      </c>
    </row>
    <row r="31" spans="1:3" s="121" customFormat="1" ht="15.75">
      <c r="A31" s="43" t="s">
        <v>59</v>
      </c>
      <c r="B31" s="44" t="s">
        <v>425</v>
      </c>
      <c r="C31" s="51">
        <f>4350495-7546+136+300</f>
        <v>4343385</v>
      </c>
    </row>
    <row r="32" spans="1:3" s="121" customFormat="1" ht="15.75">
      <c r="A32" s="43" t="s">
        <v>195</v>
      </c>
      <c r="B32" s="44" t="s">
        <v>26</v>
      </c>
      <c r="C32" s="51">
        <f>20100+1246+7546</f>
        <v>28892</v>
      </c>
    </row>
    <row r="33" spans="1:3" ht="17.25" customHeight="1">
      <c r="A33" s="28" t="s">
        <v>72</v>
      </c>
      <c r="B33" s="41" t="s">
        <v>427</v>
      </c>
      <c r="C33" s="42">
        <f>C34+C35</f>
        <v>641100</v>
      </c>
    </row>
    <row r="34" spans="1:3" ht="17.25" customHeight="1">
      <c r="A34" s="43" t="s">
        <v>60</v>
      </c>
      <c r="B34" s="44" t="s">
        <v>424</v>
      </c>
      <c r="C34" s="45">
        <v>100000</v>
      </c>
    </row>
    <row r="35" spans="1:3" ht="15.75">
      <c r="A35" s="43" t="s">
        <v>61</v>
      </c>
      <c r="B35" s="44" t="s">
        <v>26</v>
      </c>
      <c r="C35" s="45">
        <v>541100</v>
      </c>
    </row>
    <row r="36" spans="1:3" s="188" customFormat="1" ht="32.25" customHeight="1">
      <c r="A36" s="139" t="s">
        <v>73</v>
      </c>
      <c r="B36" s="145" t="s">
        <v>485</v>
      </c>
      <c r="C36" s="166">
        <f>1542468+516573</f>
        <v>2059041</v>
      </c>
    </row>
    <row r="37" spans="1:3" s="121" customFormat="1" ht="15.75">
      <c r="A37" s="43" t="s">
        <v>88</v>
      </c>
      <c r="B37" s="44" t="s">
        <v>424</v>
      </c>
      <c r="C37" s="45">
        <f>C36-C39</f>
        <v>310277</v>
      </c>
    </row>
    <row r="38" spans="1:3" s="121" customFormat="1" ht="15.75">
      <c r="A38" s="43" t="s">
        <v>293</v>
      </c>
      <c r="B38" s="44" t="s">
        <v>425</v>
      </c>
      <c r="C38" s="51">
        <f>24626+3700</f>
        <v>28326</v>
      </c>
    </row>
    <row r="39" spans="1:3" ht="15.75">
      <c r="A39" s="141" t="s">
        <v>301</v>
      </c>
      <c r="B39" s="146" t="s">
        <v>26</v>
      </c>
      <c r="C39" s="143">
        <f>1298468+450296</f>
        <v>1748764</v>
      </c>
    </row>
    <row r="40" spans="1:3" ht="32.25" customHeight="1">
      <c r="A40" s="28" t="s">
        <v>74</v>
      </c>
      <c r="B40" s="41" t="s">
        <v>429</v>
      </c>
      <c r="C40" s="42">
        <f>1393938+420+1000+1000+800+1000+200+300+670+1500+4630-1500-8500-2000</f>
        <v>1393458</v>
      </c>
    </row>
    <row r="41" spans="1:3" s="121" customFormat="1" ht="15.75">
      <c r="A41" s="43" t="s">
        <v>89</v>
      </c>
      <c r="B41" s="44" t="s">
        <v>424</v>
      </c>
      <c r="C41" s="45">
        <f>C40-C43</f>
        <v>1389308</v>
      </c>
    </row>
    <row r="42" spans="1:3" s="121" customFormat="1" ht="15.75">
      <c r="A42" s="43" t="s">
        <v>90</v>
      </c>
      <c r="B42" s="44" t="s">
        <v>425</v>
      </c>
      <c r="C42" s="45">
        <f>52363+2474</f>
        <v>54837</v>
      </c>
    </row>
    <row r="43" spans="1:3" ht="15.75">
      <c r="A43" s="43" t="s">
        <v>91</v>
      </c>
      <c r="B43" s="44" t="s">
        <v>26</v>
      </c>
      <c r="C43" s="45">
        <f>3500+650</f>
        <v>4150</v>
      </c>
    </row>
    <row r="44" spans="1:3" s="22" customFormat="1" ht="15.75">
      <c r="A44" s="28" t="s">
        <v>75</v>
      </c>
      <c r="B44" s="41" t="s">
        <v>428</v>
      </c>
      <c r="C44" s="113">
        <v>232000</v>
      </c>
    </row>
    <row r="45" spans="1:3" ht="15.75">
      <c r="A45" s="43" t="s">
        <v>92</v>
      </c>
      <c r="B45" s="44" t="s">
        <v>26</v>
      </c>
      <c r="C45" s="51">
        <v>232000</v>
      </c>
    </row>
    <row r="46" spans="1:3" s="22" customFormat="1" ht="15.75">
      <c r="A46" s="139" t="s">
        <v>76</v>
      </c>
      <c r="B46" s="145" t="s">
        <v>430</v>
      </c>
      <c r="C46" s="166">
        <f>SUM(C47:C48)</f>
        <v>1345200</v>
      </c>
    </row>
    <row r="47" spans="1:3" ht="15.75">
      <c r="A47" s="43" t="s">
        <v>431</v>
      </c>
      <c r="B47" s="44" t="s">
        <v>424</v>
      </c>
      <c r="C47" s="159">
        <f>437100+13500</f>
        <v>450600</v>
      </c>
    </row>
    <row r="48" spans="1:3" ht="15.75">
      <c r="A48" s="141" t="s">
        <v>432</v>
      </c>
      <c r="B48" s="146" t="s">
        <v>26</v>
      </c>
      <c r="C48" s="144">
        <f>934600-40000</f>
        <v>894600</v>
      </c>
    </row>
    <row r="49" spans="1:3" ht="15.75">
      <c r="A49" s="33"/>
      <c r="B49" s="34"/>
      <c r="C49" s="35"/>
    </row>
    <row r="50" ht="4.5" customHeight="1"/>
    <row r="51" spans="2:3" ht="15.75">
      <c r="B51" s="114"/>
      <c r="C51" s="115"/>
    </row>
    <row r="52" spans="2:3" ht="15">
      <c r="B52" s="52" t="s">
        <v>571</v>
      </c>
      <c r="C52" s="115"/>
    </row>
    <row r="53" spans="2:3" ht="15.75">
      <c r="B53" s="114"/>
      <c r="C53" s="116"/>
    </row>
    <row r="54" spans="2:3" ht="15.75">
      <c r="B54" s="114"/>
      <c r="C54" s="116"/>
    </row>
    <row r="55" ht="14.25">
      <c r="C55" s="117"/>
    </row>
    <row r="57" ht="14.25">
      <c r="B57" s="29"/>
    </row>
    <row r="58" ht="14.25">
      <c r="B58" s="29"/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5"/>
  <sheetViews>
    <sheetView showZeros="0" tabSelected="1" zoomScalePageLayoutView="0" workbookViewId="0" topLeftCell="A1">
      <selection activeCell="G91" sqref="G91"/>
    </sheetView>
  </sheetViews>
  <sheetFormatPr defaultColWidth="9.140625" defaultRowHeight="15" customHeight="1"/>
  <cols>
    <col min="1" max="1" width="4.7109375" style="110" customWidth="1"/>
    <col min="2" max="2" width="44.8515625" style="111" customWidth="1"/>
    <col min="3" max="3" width="10.28125" style="22" customWidth="1"/>
    <col min="4" max="4" width="10.57421875" style="23" customWidth="1"/>
    <col min="5" max="5" width="10.00390625" style="23" customWidth="1"/>
    <col min="6" max="6" width="9.8515625" style="22" customWidth="1"/>
    <col min="7" max="7" width="9.57421875" style="23" customWidth="1"/>
    <col min="8" max="8" width="9.140625" style="23" customWidth="1"/>
    <col min="9" max="9" width="9.8515625" style="22" customWidth="1"/>
    <col min="10" max="10" width="10.00390625" style="22" customWidth="1"/>
    <col min="11" max="11" width="9.8515625" style="23" customWidth="1"/>
    <col min="12" max="12" width="9.00390625" style="22" customWidth="1"/>
    <col min="13" max="13" width="9.00390625" style="23" customWidth="1"/>
    <col min="14" max="14" width="9.7109375" style="23" customWidth="1"/>
    <col min="15" max="15" width="10.7109375" style="23" customWidth="1"/>
    <col min="16" max="16" width="1.28515625" style="23" customWidth="1"/>
    <col min="17" max="17" width="9.140625" style="23" customWidth="1"/>
    <col min="18" max="18" width="11.57421875" style="23" customWidth="1"/>
    <col min="19" max="16384" width="9.140625" style="23" customWidth="1"/>
  </cols>
  <sheetData>
    <row r="1" spans="1:12" s="4" customFormat="1" ht="11.25" customHeight="1">
      <c r="A1" s="1"/>
      <c r="B1" s="5"/>
      <c r="C1" s="3"/>
      <c r="F1" s="3"/>
      <c r="I1" s="3"/>
      <c r="J1" s="3"/>
      <c r="K1" s="3"/>
      <c r="L1" s="3"/>
    </row>
    <row r="2" spans="1:12" s="4" customFormat="1" ht="15" customHeight="1">
      <c r="A2" s="1"/>
      <c r="B2" s="5"/>
      <c r="C2" s="3"/>
      <c r="F2" s="3"/>
      <c r="I2" s="3"/>
      <c r="J2" s="3"/>
      <c r="K2" s="4" t="s">
        <v>13</v>
      </c>
      <c r="L2" s="3"/>
    </row>
    <row r="3" spans="1:13" s="4" customFormat="1" ht="15" customHeight="1">
      <c r="A3" s="1"/>
      <c r="B3" s="5"/>
      <c r="C3" s="3"/>
      <c r="D3" s="3"/>
      <c r="F3" s="3"/>
      <c r="G3" s="3"/>
      <c r="I3" s="3"/>
      <c r="J3" s="3"/>
      <c r="K3" s="4" t="s">
        <v>468</v>
      </c>
      <c r="L3" s="3"/>
      <c r="M3" s="3"/>
    </row>
    <row r="4" spans="1:13" s="4" customFormat="1" ht="15" customHeight="1">
      <c r="A4" s="1"/>
      <c r="B4" s="5"/>
      <c r="C4" s="3"/>
      <c r="D4" s="3"/>
      <c r="F4" s="3"/>
      <c r="G4" s="3"/>
      <c r="I4" s="3"/>
      <c r="J4" s="3"/>
      <c r="K4" s="4" t="s">
        <v>560</v>
      </c>
      <c r="L4" s="3"/>
      <c r="M4" s="3"/>
    </row>
    <row r="5" spans="1:12" s="4" customFormat="1" ht="15" customHeight="1">
      <c r="A5" s="1"/>
      <c r="B5" s="5"/>
      <c r="C5" s="3"/>
      <c r="F5" s="3"/>
      <c r="I5" s="3"/>
      <c r="J5" s="3"/>
      <c r="K5" s="4" t="s">
        <v>216</v>
      </c>
      <c r="L5" s="3"/>
    </row>
    <row r="6" spans="1:12" s="4" customFormat="1" ht="12.75" customHeight="1">
      <c r="A6" s="1"/>
      <c r="B6" s="5"/>
      <c r="C6" s="3"/>
      <c r="F6" s="3"/>
      <c r="I6" s="3"/>
      <c r="J6" s="3"/>
      <c r="L6" s="3"/>
    </row>
    <row r="7" spans="1:11" s="4" customFormat="1" ht="15" customHeight="1">
      <c r="A7" s="1"/>
      <c r="B7" s="192" t="s">
        <v>469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1:15" s="4" customFormat="1" ht="11.25" customHeight="1">
      <c r="A8" s="1"/>
      <c r="B8" s="2"/>
      <c r="C8" s="3"/>
      <c r="D8" s="3"/>
      <c r="F8" s="3"/>
      <c r="G8" s="3"/>
      <c r="I8" s="3"/>
      <c r="J8" s="3"/>
      <c r="K8" s="3"/>
      <c r="L8" s="3"/>
      <c r="M8" s="3"/>
      <c r="O8" s="4" t="s">
        <v>486</v>
      </c>
    </row>
    <row r="9" spans="1:15" s="6" customFormat="1" ht="39.75" customHeight="1">
      <c r="A9" s="203" t="s">
        <v>25</v>
      </c>
      <c r="B9" s="204" t="s">
        <v>81</v>
      </c>
      <c r="C9" s="194" t="s">
        <v>27</v>
      </c>
      <c r="D9" s="201"/>
      <c r="E9" s="195"/>
      <c r="F9" s="194" t="s">
        <v>487</v>
      </c>
      <c r="G9" s="201"/>
      <c r="H9" s="195"/>
      <c r="I9" s="194" t="s">
        <v>553</v>
      </c>
      <c r="J9" s="201"/>
      <c r="K9" s="195"/>
      <c r="L9" s="194" t="s">
        <v>488</v>
      </c>
      <c r="M9" s="201"/>
      <c r="N9" s="195"/>
      <c r="O9" s="196" t="s">
        <v>29</v>
      </c>
    </row>
    <row r="10" spans="1:15" s="7" customFormat="1" ht="15" customHeight="1">
      <c r="A10" s="203"/>
      <c r="B10" s="205"/>
      <c r="C10" s="196" t="s">
        <v>0</v>
      </c>
      <c r="D10" s="194" t="s">
        <v>1</v>
      </c>
      <c r="E10" s="195"/>
      <c r="F10" s="196" t="s">
        <v>0</v>
      </c>
      <c r="G10" s="194" t="s">
        <v>1</v>
      </c>
      <c r="H10" s="195"/>
      <c r="I10" s="196" t="s">
        <v>0</v>
      </c>
      <c r="J10" s="194" t="s">
        <v>1</v>
      </c>
      <c r="K10" s="195"/>
      <c r="L10" s="196" t="s">
        <v>0</v>
      </c>
      <c r="M10" s="194" t="s">
        <v>1</v>
      </c>
      <c r="N10" s="195"/>
      <c r="O10" s="202"/>
    </row>
    <row r="11" spans="1:15" s="7" customFormat="1" ht="15" customHeight="1">
      <c r="A11" s="203"/>
      <c r="B11" s="205"/>
      <c r="C11" s="202"/>
      <c r="D11" s="196" t="s">
        <v>28</v>
      </c>
      <c r="E11" s="196" t="s">
        <v>26</v>
      </c>
      <c r="F11" s="202"/>
      <c r="G11" s="196" t="s">
        <v>28</v>
      </c>
      <c r="H11" s="196" t="s">
        <v>26</v>
      </c>
      <c r="I11" s="202"/>
      <c r="J11" s="196" t="s">
        <v>28</v>
      </c>
      <c r="K11" s="196" t="s">
        <v>26</v>
      </c>
      <c r="L11" s="202"/>
      <c r="M11" s="196" t="s">
        <v>28</v>
      </c>
      <c r="N11" s="196" t="s">
        <v>26</v>
      </c>
      <c r="O11" s="202"/>
    </row>
    <row r="12" spans="1:15" s="7" customFormat="1" ht="39" customHeight="1">
      <c r="A12" s="203"/>
      <c r="B12" s="206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</row>
    <row r="13" spans="1:15" s="11" customFormat="1" ht="14.25" customHeight="1">
      <c r="A13" s="8">
        <v>1</v>
      </c>
      <c r="B13" s="9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</row>
    <row r="14" spans="1:15" s="12" customFormat="1" ht="15" customHeight="1">
      <c r="A14" s="53"/>
      <c r="B14" s="198" t="s">
        <v>357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200"/>
    </row>
    <row r="15" spans="1:17" s="13" customFormat="1" ht="15.75" customHeight="1">
      <c r="A15" s="53"/>
      <c r="B15" s="54" t="s">
        <v>41</v>
      </c>
      <c r="C15" s="55">
        <f>C16+C17+C41+C43</f>
        <v>2714510</v>
      </c>
      <c r="D15" s="55">
        <f aca="true" t="shared" si="0" ref="D15:N15">D16+D17+D41+D43</f>
        <v>1465500</v>
      </c>
      <c r="E15" s="55">
        <f t="shared" si="0"/>
        <v>252485</v>
      </c>
      <c r="F15" s="55">
        <f t="shared" si="0"/>
        <v>358661</v>
      </c>
      <c r="G15" s="55">
        <f t="shared" si="0"/>
        <v>227270</v>
      </c>
      <c r="H15" s="55">
        <f t="shared" si="0"/>
        <v>849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62510</v>
      </c>
      <c r="M15" s="55">
        <f t="shared" si="0"/>
        <v>0</v>
      </c>
      <c r="N15" s="55">
        <f t="shared" si="0"/>
        <v>650</v>
      </c>
      <c r="O15" s="56">
        <f aca="true" t="shared" si="1" ref="O15:O46">C15+F15+I15+L15</f>
        <v>3135681</v>
      </c>
      <c r="Q15" s="18"/>
    </row>
    <row r="16" spans="1:15" s="12" customFormat="1" ht="15.75" customHeight="1">
      <c r="A16" s="53" t="s">
        <v>69</v>
      </c>
      <c r="B16" s="54" t="s">
        <v>257</v>
      </c>
      <c r="C16" s="55">
        <f>31700-3900</f>
        <v>27800</v>
      </c>
      <c r="D16" s="55">
        <f>23000-1000-3000</f>
        <v>19000</v>
      </c>
      <c r="E16" s="55">
        <v>1300</v>
      </c>
      <c r="F16" s="55"/>
      <c r="G16" s="55"/>
      <c r="H16" s="55"/>
      <c r="I16" s="55"/>
      <c r="J16" s="55"/>
      <c r="K16" s="55"/>
      <c r="L16" s="55"/>
      <c r="M16" s="55"/>
      <c r="N16" s="55"/>
      <c r="O16" s="56">
        <f t="shared" si="1"/>
        <v>27800</v>
      </c>
    </row>
    <row r="17" spans="1:15" s="12" customFormat="1" ht="16.5" customHeight="1">
      <c r="A17" s="53" t="s">
        <v>68</v>
      </c>
      <c r="B17" s="54" t="s">
        <v>54</v>
      </c>
      <c r="C17" s="55">
        <f>SUM(C18:C40)</f>
        <v>2430810</v>
      </c>
      <c r="D17" s="55">
        <f aca="true" t="shared" si="2" ref="D17:N17">SUM(D18:D40)</f>
        <v>1446500</v>
      </c>
      <c r="E17" s="55">
        <f t="shared" si="2"/>
        <v>111930</v>
      </c>
      <c r="F17" s="55">
        <f t="shared" si="2"/>
        <v>358661</v>
      </c>
      <c r="G17" s="55">
        <f t="shared" si="2"/>
        <v>227270</v>
      </c>
      <c r="H17" s="55">
        <f t="shared" si="2"/>
        <v>849</v>
      </c>
      <c r="I17" s="55">
        <f t="shared" si="2"/>
        <v>0</v>
      </c>
      <c r="J17" s="55">
        <f t="shared" si="2"/>
        <v>0</v>
      </c>
      <c r="K17" s="55">
        <f t="shared" si="2"/>
        <v>0</v>
      </c>
      <c r="L17" s="55">
        <f>SUM(L18:L40)</f>
        <v>62510</v>
      </c>
      <c r="M17" s="55">
        <f t="shared" si="2"/>
        <v>0</v>
      </c>
      <c r="N17" s="55">
        <f t="shared" si="2"/>
        <v>650</v>
      </c>
      <c r="O17" s="56">
        <f t="shared" si="1"/>
        <v>2851981</v>
      </c>
    </row>
    <row r="18" spans="1:15" s="4" customFormat="1" ht="15" customHeight="1">
      <c r="A18" s="57" t="s">
        <v>62</v>
      </c>
      <c r="B18" s="58" t="s">
        <v>258</v>
      </c>
      <c r="C18" s="56">
        <f>239600+3900</f>
        <v>243500</v>
      </c>
      <c r="D18" s="59">
        <f>101600+56000+3000</f>
        <v>160600</v>
      </c>
      <c r="E18" s="59"/>
      <c r="F18" s="56"/>
      <c r="G18" s="59"/>
      <c r="H18" s="59"/>
      <c r="I18" s="56"/>
      <c r="J18" s="56"/>
      <c r="K18" s="59"/>
      <c r="L18" s="56"/>
      <c r="M18" s="59"/>
      <c r="N18" s="59"/>
      <c r="O18" s="56">
        <f t="shared" si="1"/>
        <v>243500</v>
      </c>
    </row>
    <row r="19" spans="1:15" s="4" customFormat="1" ht="15" customHeight="1">
      <c r="A19" s="57" t="s">
        <v>63</v>
      </c>
      <c r="B19" s="58" t="s">
        <v>112</v>
      </c>
      <c r="C19" s="56">
        <v>7000</v>
      </c>
      <c r="D19" s="59"/>
      <c r="E19" s="59"/>
      <c r="F19" s="56"/>
      <c r="G19" s="59"/>
      <c r="H19" s="59"/>
      <c r="I19" s="56"/>
      <c r="J19" s="56"/>
      <c r="K19" s="59"/>
      <c r="L19" s="56"/>
      <c r="M19" s="59"/>
      <c r="N19" s="59"/>
      <c r="O19" s="56">
        <f t="shared" si="1"/>
        <v>7000</v>
      </c>
    </row>
    <row r="20" spans="1:15" s="4" customFormat="1" ht="29.25" customHeight="1">
      <c r="A20" s="122" t="s">
        <v>64</v>
      </c>
      <c r="B20" s="123" t="s">
        <v>217</v>
      </c>
      <c r="C20" s="189">
        <f>1434390-7300</f>
        <v>1427090</v>
      </c>
      <c r="D20" s="125">
        <f>883600-5600</f>
        <v>878000</v>
      </c>
      <c r="E20" s="60">
        <f>32930</f>
        <v>32930</v>
      </c>
      <c r="F20" s="62">
        <f>80086</f>
        <v>80086</v>
      </c>
      <c r="G20" s="60">
        <f>42120</f>
        <v>42120</v>
      </c>
      <c r="H20" s="59"/>
      <c r="I20" s="56"/>
      <c r="J20" s="56"/>
      <c r="K20" s="59"/>
      <c r="L20" s="56">
        <f>49000+3000</f>
        <v>52000</v>
      </c>
      <c r="M20" s="59"/>
      <c r="N20" s="59">
        <v>650</v>
      </c>
      <c r="O20" s="124">
        <f t="shared" si="1"/>
        <v>1559176</v>
      </c>
    </row>
    <row r="21" spans="1:15" s="4" customFormat="1" ht="15" customHeight="1">
      <c r="A21" s="57" t="s">
        <v>65</v>
      </c>
      <c r="B21" s="58" t="s">
        <v>23</v>
      </c>
      <c r="C21" s="56"/>
      <c r="D21" s="59"/>
      <c r="E21" s="59"/>
      <c r="F21" s="56">
        <v>9400</v>
      </c>
      <c r="G21" s="59">
        <v>6400</v>
      </c>
      <c r="H21" s="59"/>
      <c r="I21" s="56"/>
      <c r="J21" s="56"/>
      <c r="K21" s="59"/>
      <c r="L21" s="56"/>
      <c r="M21" s="59"/>
      <c r="N21" s="59"/>
      <c r="O21" s="56">
        <f t="shared" si="1"/>
        <v>9400</v>
      </c>
    </row>
    <row r="22" spans="1:15" s="4" customFormat="1" ht="15" customHeight="1">
      <c r="A22" s="57" t="s">
        <v>66</v>
      </c>
      <c r="B22" s="58" t="s">
        <v>210</v>
      </c>
      <c r="C22" s="56"/>
      <c r="D22" s="59"/>
      <c r="E22" s="59"/>
      <c r="F22" s="56">
        <v>15700</v>
      </c>
      <c r="G22" s="59">
        <f>9500-650</f>
        <v>8850</v>
      </c>
      <c r="H22" s="59">
        <v>849</v>
      </c>
      <c r="I22" s="56"/>
      <c r="J22" s="56"/>
      <c r="K22" s="59"/>
      <c r="L22" s="56"/>
      <c r="M22" s="59"/>
      <c r="N22" s="59"/>
      <c r="O22" s="56">
        <f t="shared" si="1"/>
        <v>15700</v>
      </c>
    </row>
    <row r="23" spans="1:15" s="4" customFormat="1" ht="15" customHeight="1">
      <c r="A23" s="57" t="s">
        <v>67</v>
      </c>
      <c r="B23" s="58" t="s">
        <v>218</v>
      </c>
      <c r="C23" s="56"/>
      <c r="D23" s="59"/>
      <c r="E23" s="59"/>
      <c r="F23" s="56">
        <f>174300+75</f>
        <v>174375</v>
      </c>
      <c r="G23" s="59">
        <v>120000</v>
      </c>
      <c r="H23" s="59"/>
      <c r="I23" s="56"/>
      <c r="J23" s="56"/>
      <c r="K23" s="59"/>
      <c r="L23" s="56"/>
      <c r="M23" s="59"/>
      <c r="N23" s="59"/>
      <c r="O23" s="56">
        <f t="shared" si="1"/>
        <v>174375</v>
      </c>
    </row>
    <row r="24" spans="1:15" s="4" customFormat="1" ht="15" customHeight="1">
      <c r="A24" s="57" t="s">
        <v>82</v>
      </c>
      <c r="B24" s="58" t="s">
        <v>229</v>
      </c>
      <c r="C24" s="56"/>
      <c r="D24" s="59"/>
      <c r="E24" s="59"/>
      <c r="F24" s="56">
        <f>13900-1565</f>
        <v>12335</v>
      </c>
      <c r="G24" s="59">
        <f>7500-1200</f>
        <v>6300</v>
      </c>
      <c r="H24" s="59"/>
      <c r="I24" s="56"/>
      <c r="J24" s="56"/>
      <c r="K24" s="59"/>
      <c r="L24" s="56"/>
      <c r="M24" s="59"/>
      <c r="N24" s="59"/>
      <c r="O24" s="56">
        <f t="shared" si="1"/>
        <v>12335</v>
      </c>
    </row>
    <row r="25" spans="1:15" s="4" customFormat="1" ht="28.5" customHeight="1">
      <c r="A25" s="57" t="s">
        <v>83</v>
      </c>
      <c r="B25" s="58" t="s">
        <v>219</v>
      </c>
      <c r="C25" s="56"/>
      <c r="D25" s="59"/>
      <c r="E25" s="59"/>
      <c r="F25" s="56">
        <f>3900+1565</f>
        <v>5465</v>
      </c>
      <c r="G25" s="59">
        <f>3000+1200</f>
        <v>4200</v>
      </c>
      <c r="H25" s="59"/>
      <c r="I25" s="56"/>
      <c r="J25" s="56"/>
      <c r="K25" s="59"/>
      <c r="L25" s="56"/>
      <c r="M25" s="59"/>
      <c r="N25" s="59"/>
      <c r="O25" s="56">
        <f t="shared" si="1"/>
        <v>5465</v>
      </c>
    </row>
    <row r="26" spans="1:15" s="4" customFormat="1" ht="15" customHeight="1">
      <c r="A26" s="61" t="s">
        <v>84</v>
      </c>
      <c r="B26" s="58" t="s">
        <v>220</v>
      </c>
      <c r="C26" s="56"/>
      <c r="D26" s="59"/>
      <c r="E26" s="59"/>
      <c r="F26" s="62">
        <v>4100</v>
      </c>
      <c r="G26" s="60"/>
      <c r="H26" s="59"/>
      <c r="I26" s="56"/>
      <c r="J26" s="56"/>
      <c r="K26" s="59"/>
      <c r="L26" s="56"/>
      <c r="M26" s="59"/>
      <c r="N26" s="59"/>
      <c r="O26" s="56">
        <f>C26+F26+I26+L26</f>
        <v>4100</v>
      </c>
    </row>
    <row r="27" spans="1:15" s="4" customFormat="1" ht="15" customHeight="1">
      <c r="A27" s="86" t="s">
        <v>85</v>
      </c>
      <c r="B27" s="58" t="s">
        <v>212</v>
      </c>
      <c r="C27" s="56"/>
      <c r="D27" s="59"/>
      <c r="E27" s="59"/>
      <c r="F27" s="56">
        <f>52000+5200</f>
        <v>57200</v>
      </c>
      <c r="G27" s="59">
        <f>35400+4000</f>
        <v>39400</v>
      </c>
      <c r="H27" s="59"/>
      <c r="I27" s="56"/>
      <c r="J27" s="56"/>
      <c r="K27" s="59"/>
      <c r="L27" s="56"/>
      <c r="M27" s="59"/>
      <c r="N27" s="59"/>
      <c r="O27" s="56">
        <f t="shared" si="1"/>
        <v>57200</v>
      </c>
    </row>
    <row r="28" spans="1:15" s="4" customFormat="1" ht="15" customHeight="1">
      <c r="A28" s="61" t="s">
        <v>86</v>
      </c>
      <c r="B28" s="58" t="s">
        <v>115</v>
      </c>
      <c r="C28" s="56">
        <f>53900-1300</f>
        <v>52600</v>
      </c>
      <c r="D28" s="59">
        <f>37400-1000</f>
        <v>36400</v>
      </c>
      <c r="E28" s="59"/>
      <c r="F28" s="59"/>
      <c r="G28" s="59"/>
      <c r="H28" s="59"/>
      <c r="I28" s="59"/>
      <c r="J28" s="59"/>
      <c r="K28" s="59"/>
      <c r="L28" s="56">
        <v>1770</v>
      </c>
      <c r="M28" s="59"/>
      <c r="N28" s="59"/>
      <c r="O28" s="56">
        <f t="shared" si="1"/>
        <v>54370</v>
      </c>
    </row>
    <row r="29" spans="1:15" s="4" customFormat="1" ht="15" customHeight="1">
      <c r="A29" s="61" t="s">
        <v>111</v>
      </c>
      <c r="B29" s="58" t="s">
        <v>121</v>
      </c>
      <c r="C29" s="56">
        <v>42200</v>
      </c>
      <c r="D29" s="59">
        <v>26900</v>
      </c>
      <c r="E29" s="59"/>
      <c r="F29" s="59"/>
      <c r="G29" s="59"/>
      <c r="H29" s="59"/>
      <c r="I29" s="59"/>
      <c r="J29" s="59"/>
      <c r="K29" s="59"/>
      <c r="L29" s="56"/>
      <c r="M29" s="59"/>
      <c r="N29" s="59"/>
      <c r="O29" s="56">
        <f t="shared" si="1"/>
        <v>42200</v>
      </c>
    </row>
    <row r="30" spans="1:15" s="4" customFormat="1" ht="15" customHeight="1">
      <c r="A30" s="61" t="s">
        <v>113</v>
      </c>
      <c r="B30" s="58" t="s">
        <v>122</v>
      </c>
      <c r="C30" s="56">
        <f>40400-500</f>
        <v>39900</v>
      </c>
      <c r="D30" s="59">
        <f>22200-400</f>
        <v>21800</v>
      </c>
      <c r="E30" s="59"/>
      <c r="F30" s="59"/>
      <c r="G30" s="59"/>
      <c r="H30" s="59"/>
      <c r="I30" s="59"/>
      <c r="J30" s="59"/>
      <c r="K30" s="59"/>
      <c r="L30" s="56">
        <v>630</v>
      </c>
      <c r="M30" s="59"/>
      <c r="N30" s="59"/>
      <c r="O30" s="56">
        <f t="shared" si="1"/>
        <v>40530</v>
      </c>
    </row>
    <row r="31" spans="1:15" s="3" customFormat="1" ht="15" customHeight="1">
      <c r="A31" s="61" t="s">
        <v>114</v>
      </c>
      <c r="B31" s="58" t="s">
        <v>123</v>
      </c>
      <c r="C31" s="56">
        <f>54800</f>
        <v>54800</v>
      </c>
      <c r="D31" s="59">
        <v>38200</v>
      </c>
      <c r="E31" s="59"/>
      <c r="F31" s="59"/>
      <c r="G31" s="59"/>
      <c r="H31" s="59"/>
      <c r="I31" s="59"/>
      <c r="J31" s="59"/>
      <c r="K31" s="59"/>
      <c r="L31" s="56">
        <v>50</v>
      </c>
      <c r="M31" s="59"/>
      <c r="N31" s="59"/>
      <c r="O31" s="56">
        <f t="shared" si="1"/>
        <v>54850</v>
      </c>
    </row>
    <row r="32" spans="1:15" s="4" customFormat="1" ht="15" customHeight="1">
      <c r="A32" s="61" t="s">
        <v>132</v>
      </c>
      <c r="B32" s="58" t="s">
        <v>124</v>
      </c>
      <c r="C32" s="56">
        <f>53400+4000</f>
        <v>57400</v>
      </c>
      <c r="D32" s="59">
        <v>36400</v>
      </c>
      <c r="E32" s="59"/>
      <c r="F32" s="59"/>
      <c r="G32" s="59"/>
      <c r="H32" s="59"/>
      <c r="I32" s="59"/>
      <c r="J32" s="59"/>
      <c r="K32" s="59"/>
      <c r="L32" s="56">
        <v>1550</v>
      </c>
      <c r="M32" s="59"/>
      <c r="N32" s="59"/>
      <c r="O32" s="56">
        <f t="shared" si="1"/>
        <v>58950</v>
      </c>
    </row>
    <row r="33" spans="1:15" s="4" customFormat="1" ht="15" customHeight="1">
      <c r="A33" s="61" t="s">
        <v>133</v>
      </c>
      <c r="B33" s="58" t="s">
        <v>125</v>
      </c>
      <c r="C33" s="56">
        <f>54870+3900</f>
        <v>58770</v>
      </c>
      <c r="D33" s="59">
        <f>37800+3000</f>
        <v>40800</v>
      </c>
      <c r="E33" s="59"/>
      <c r="F33" s="59"/>
      <c r="G33" s="59"/>
      <c r="H33" s="59"/>
      <c r="I33" s="59"/>
      <c r="J33" s="59"/>
      <c r="K33" s="59"/>
      <c r="L33" s="56">
        <v>240</v>
      </c>
      <c r="M33" s="59"/>
      <c r="N33" s="59"/>
      <c r="O33" s="56">
        <f t="shared" si="1"/>
        <v>59010</v>
      </c>
    </row>
    <row r="34" spans="1:15" s="4" customFormat="1" ht="15" customHeight="1">
      <c r="A34" s="61" t="s">
        <v>134</v>
      </c>
      <c r="B34" s="58" t="s">
        <v>126</v>
      </c>
      <c r="C34" s="56">
        <v>41900</v>
      </c>
      <c r="D34" s="59">
        <v>27600</v>
      </c>
      <c r="E34" s="59"/>
      <c r="F34" s="59"/>
      <c r="G34" s="59"/>
      <c r="H34" s="59"/>
      <c r="I34" s="59"/>
      <c r="J34" s="59"/>
      <c r="K34" s="59"/>
      <c r="L34" s="56">
        <v>430</v>
      </c>
      <c r="M34" s="59"/>
      <c r="N34" s="59"/>
      <c r="O34" s="56">
        <f t="shared" si="1"/>
        <v>42330</v>
      </c>
    </row>
    <row r="35" spans="1:15" s="4" customFormat="1" ht="15" customHeight="1">
      <c r="A35" s="61" t="s">
        <v>135</v>
      </c>
      <c r="B35" s="58" t="s">
        <v>127</v>
      </c>
      <c r="C35" s="56">
        <f>45900-1300</f>
        <v>44600</v>
      </c>
      <c r="D35" s="59">
        <f>31800-1000</f>
        <v>30800</v>
      </c>
      <c r="E35" s="59"/>
      <c r="F35" s="59"/>
      <c r="G35" s="59"/>
      <c r="H35" s="59"/>
      <c r="I35" s="59"/>
      <c r="J35" s="59"/>
      <c r="K35" s="59"/>
      <c r="L35" s="56"/>
      <c r="M35" s="59"/>
      <c r="N35" s="59"/>
      <c r="O35" s="56">
        <f t="shared" si="1"/>
        <v>44600</v>
      </c>
    </row>
    <row r="36" spans="1:15" s="4" customFormat="1" ht="15" customHeight="1">
      <c r="A36" s="61" t="s">
        <v>136</v>
      </c>
      <c r="B36" s="58" t="s">
        <v>128</v>
      </c>
      <c r="C36" s="56">
        <f>55900-4700</f>
        <v>51200</v>
      </c>
      <c r="D36" s="59">
        <f>39800-3600</f>
        <v>36200</v>
      </c>
      <c r="E36" s="59"/>
      <c r="F36" s="59"/>
      <c r="G36" s="59"/>
      <c r="H36" s="59"/>
      <c r="I36" s="59"/>
      <c r="J36" s="59"/>
      <c r="K36" s="59"/>
      <c r="L36" s="56">
        <v>470</v>
      </c>
      <c r="M36" s="59"/>
      <c r="N36" s="59"/>
      <c r="O36" s="56">
        <f t="shared" si="1"/>
        <v>51670</v>
      </c>
    </row>
    <row r="37" spans="1:15" s="160" customFormat="1" ht="15" customHeight="1">
      <c r="A37" s="161" t="s">
        <v>137</v>
      </c>
      <c r="B37" s="123" t="s">
        <v>129</v>
      </c>
      <c r="C37" s="124">
        <f>56400+7300</f>
        <v>63700</v>
      </c>
      <c r="D37" s="126">
        <f>38700+5600</f>
        <v>44300</v>
      </c>
      <c r="E37" s="126"/>
      <c r="F37" s="126"/>
      <c r="G37" s="126"/>
      <c r="H37" s="126"/>
      <c r="I37" s="126"/>
      <c r="J37" s="126"/>
      <c r="K37" s="126"/>
      <c r="L37" s="56">
        <v>4800</v>
      </c>
      <c r="M37" s="126"/>
      <c r="N37" s="126"/>
      <c r="O37" s="124">
        <f t="shared" si="1"/>
        <v>68500</v>
      </c>
    </row>
    <row r="38" spans="1:15" s="4" customFormat="1" ht="15" customHeight="1">
      <c r="A38" s="61" t="s">
        <v>138</v>
      </c>
      <c r="B38" s="58" t="s">
        <v>130</v>
      </c>
      <c r="C38" s="56">
        <f>50200+900</f>
        <v>51100</v>
      </c>
      <c r="D38" s="59">
        <f>29700+700</f>
        <v>30400</v>
      </c>
      <c r="E38" s="59"/>
      <c r="F38" s="59"/>
      <c r="G38" s="59"/>
      <c r="H38" s="59"/>
      <c r="I38" s="59"/>
      <c r="J38" s="59"/>
      <c r="K38" s="59"/>
      <c r="L38" s="56">
        <v>570</v>
      </c>
      <c r="M38" s="59"/>
      <c r="N38" s="59"/>
      <c r="O38" s="56">
        <f>C38+F38+I38+L38</f>
        <v>51670</v>
      </c>
    </row>
    <row r="39" spans="1:15" s="4" customFormat="1" ht="15.75" customHeight="1">
      <c r="A39" s="61" t="s">
        <v>139</v>
      </c>
      <c r="B39" s="170" t="s">
        <v>131</v>
      </c>
      <c r="C39" s="56">
        <f>59100+1950</f>
        <v>61050</v>
      </c>
      <c r="D39" s="59">
        <f>36600+1500</f>
        <v>38100</v>
      </c>
      <c r="E39" s="59"/>
      <c r="F39" s="59"/>
      <c r="G39" s="59"/>
      <c r="H39" s="59"/>
      <c r="I39" s="59"/>
      <c r="J39" s="59"/>
      <c r="K39" s="59"/>
      <c r="L39" s="56"/>
      <c r="M39" s="59"/>
      <c r="N39" s="59"/>
      <c r="O39" s="56">
        <f t="shared" si="1"/>
        <v>61050</v>
      </c>
    </row>
    <row r="40" spans="1:15" s="3" customFormat="1" ht="29.25" customHeight="1">
      <c r="A40" s="61" t="s">
        <v>140</v>
      </c>
      <c r="B40" s="58" t="s">
        <v>194</v>
      </c>
      <c r="C40" s="56">
        <f>134000</f>
        <v>134000</v>
      </c>
      <c r="D40" s="59"/>
      <c r="E40" s="59">
        <f>79000</f>
        <v>79000</v>
      </c>
      <c r="F40" s="59"/>
      <c r="G40" s="59"/>
      <c r="H40" s="59"/>
      <c r="I40" s="59"/>
      <c r="J40" s="59"/>
      <c r="K40" s="59"/>
      <c r="L40" s="59"/>
      <c r="M40" s="59"/>
      <c r="N40" s="56"/>
      <c r="O40" s="56">
        <f t="shared" si="1"/>
        <v>134000</v>
      </c>
    </row>
    <row r="41" spans="1:15" s="16" customFormat="1" ht="27" customHeight="1">
      <c r="A41" s="53" t="s">
        <v>70</v>
      </c>
      <c r="B41" s="54" t="s">
        <v>31</v>
      </c>
      <c r="C41" s="56">
        <f aca="true" t="shared" si="3" ref="C41:I41">SUM(C42:C42)</f>
        <v>53100</v>
      </c>
      <c r="D41" s="56">
        <f t="shared" si="3"/>
        <v>0</v>
      </c>
      <c r="E41" s="56">
        <f t="shared" si="3"/>
        <v>0</v>
      </c>
      <c r="F41" s="56">
        <f t="shared" si="3"/>
        <v>0</v>
      </c>
      <c r="G41" s="56">
        <f t="shared" si="3"/>
        <v>0</v>
      </c>
      <c r="H41" s="56">
        <f t="shared" si="3"/>
        <v>0</v>
      </c>
      <c r="I41" s="56">
        <f t="shared" si="3"/>
        <v>0</v>
      </c>
      <c r="J41" s="56"/>
      <c r="K41" s="56">
        <f>SUM(K42:K42)</f>
        <v>0</v>
      </c>
      <c r="L41" s="56">
        <f>SUM(L42:L42)</f>
        <v>0</v>
      </c>
      <c r="M41" s="56">
        <f>SUM(M42:M42)</f>
        <v>0</v>
      </c>
      <c r="N41" s="56">
        <f>SUM(N42:N42)</f>
        <v>0</v>
      </c>
      <c r="O41" s="56">
        <f t="shared" si="1"/>
        <v>53100</v>
      </c>
    </row>
    <row r="42" spans="1:15" s="14" customFormat="1" ht="15" customHeight="1">
      <c r="A42" s="63" t="s">
        <v>87</v>
      </c>
      <c r="B42" s="64" t="s">
        <v>489</v>
      </c>
      <c r="C42" s="59">
        <v>53100</v>
      </c>
      <c r="D42" s="65"/>
      <c r="E42" s="59"/>
      <c r="F42" s="65"/>
      <c r="G42" s="65"/>
      <c r="H42" s="65"/>
      <c r="I42" s="65"/>
      <c r="J42" s="65"/>
      <c r="K42" s="65"/>
      <c r="L42" s="65"/>
      <c r="M42" s="65"/>
      <c r="N42" s="65"/>
      <c r="O42" s="56">
        <f t="shared" si="1"/>
        <v>53100</v>
      </c>
    </row>
    <row r="43" spans="1:15" s="67" customFormat="1" ht="15" customHeight="1">
      <c r="A43" s="66" t="s">
        <v>71</v>
      </c>
      <c r="B43" s="54" t="s">
        <v>54</v>
      </c>
      <c r="C43" s="62">
        <f aca="true" t="shared" si="4" ref="C43:I43">SUM(C44:C46)</f>
        <v>202800</v>
      </c>
      <c r="D43" s="62">
        <f t="shared" si="4"/>
        <v>0</v>
      </c>
      <c r="E43" s="62">
        <f t="shared" si="4"/>
        <v>139255</v>
      </c>
      <c r="F43" s="62">
        <f t="shared" si="4"/>
        <v>0</v>
      </c>
      <c r="G43" s="62">
        <f t="shared" si="4"/>
        <v>0</v>
      </c>
      <c r="H43" s="62">
        <f t="shared" si="4"/>
        <v>0</v>
      </c>
      <c r="I43" s="62">
        <f t="shared" si="4"/>
        <v>0</v>
      </c>
      <c r="J43" s="62"/>
      <c r="K43" s="62">
        <f>SUM(K44:K46)</f>
        <v>0</v>
      </c>
      <c r="L43" s="62">
        <f>SUM(L44:L46)</f>
        <v>0</v>
      </c>
      <c r="M43" s="62">
        <f>SUM(M44:M46)</f>
        <v>0</v>
      </c>
      <c r="N43" s="62">
        <f>SUM(N44:N46)</f>
        <v>0</v>
      </c>
      <c r="O43" s="62">
        <f t="shared" si="1"/>
        <v>202800</v>
      </c>
    </row>
    <row r="44" spans="1:15" s="70" customFormat="1" ht="15" customHeight="1">
      <c r="A44" s="68" t="s">
        <v>58</v>
      </c>
      <c r="B44" s="64" t="s">
        <v>352</v>
      </c>
      <c r="C44" s="60">
        <v>4000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2">
        <f t="shared" si="1"/>
        <v>4000</v>
      </c>
    </row>
    <row r="45" spans="1:15" s="70" customFormat="1" ht="15" customHeight="1">
      <c r="A45" s="71" t="s">
        <v>59</v>
      </c>
      <c r="B45" s="64" t="s">
        <v>51</v>
      </c>
      <c r="C45" s="60">
        <v>10000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2">
        <f>C45+F45+I45+L45</f>
        <v>10000</v>
      </c>
    </row>
    <row r="46" spans="1:15" s="70" customFormat="1" ht="59.25" customHeight="1">
      <c r="A46" s="149" t="s">
        <v>195</v>
      </c>
      <c r="B46" s="128" t="s">
        <v>295</v>
      </c>
      <c r="C46" s="60">
        <f>195000-6200</f>
        <v>188800</v>
      </c>
      <c r="D46" s="69"/>
      <c r="E46" s="125">
        <f>132348+6907</f>
        <v>139255</v>
      </c>
      <c r="F46" s="69"/>
      <c r="G46" s="69"/>
      <c r="H46" s="69"/>
      <c r="I46" s="69"/>
      <c r="J46" s="69"/>
      <c r="K46" s="69"/>
      <c r="L46" s="69"/>
      <c r="M46" s="69"/>
      <c r="N46" s="69"/>
      <c r="O46" s="62">
        <f t="shared" si="1"/>
        <v>188800</v>
      </c>
    </row>
    <row r="47" spans="1:15" s="3" customFormat="1" ht="15" customHeight="1">
      <c r="A47" s="72"/>
      <c r="B47" s="198" t="s">
        <v>358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200"/>
    </row>
    <row r="48" spans="1:18" s="14" customFormat="1" ht="15" customHeight="1">
      <c r="A48" s="73"/>
      <c r="B48" s="54" t="s">
        <v>41</v>
      </c>
      <c r="C48" s="55">
        <f>C49</f>
        <v>36200</v>
      </c>
      <c r="D48" s="55">
        <f aca="true" t="shared" si="5" ref="D48:N48">D49</f>
        <v>0</v>
      </c>
      <c r="E48" s="55">
        <f t="shared" si="5"/>
        <v>0</v>
      </c>
      <c r="F48" s="55">
        <f t="shared" si="5"/>
        <v>257000</v>
      </c>
      <c r="G48" s="55">
        <f t="shared" si="5"/>
        <v>0</v>
      </c>
      <c r="H48" s="55">
        <f t="shared" si="5"/>
        <v>0</v>
      </c>
      <c r="I48" s="55">
        <f t="shared" si="5"/>
        <v>0</v>
      </c>
      <c r="J48" s="55"/>
      <c r="K48" s="55">
        <f t="shared" si="5"/>
        <v>0</v>
      </c>
      <c r="L48" s="55">
        <f t="shared" si="5"/>
        <v>0</v>
      </c>
      <c r="M48" s="55">
        <f t="shared" si="5"/>
        <v>0</v>
      </c>
      <c r="N48" s="55">
        <f t="shared" si="5"/>
        <v>0</v>
      </c>
      <c r="O48" s="56">
        <f>C48+F48+I48+L48</f>
        <v>293200</v>
      </c>
      <c r="Q48" s="18"/>
      <c r="R48" s="13"/>
    </row>
    <row r="49" spans="1:15" s="14" customFormat="1" ht="15.75" customHeight="1">
      <c r="A49" s="53" t="s">
        <v>72</v>
      </c>
      <c r="B49" s="54" t="s">
        <v>54</v>
      </c>
      <c r="C49" s="55">
        <f>SUM(C51,C52)</f>
        <v>36200</v>
      </c>
      <c r="D49" s="55">
        <f>SUM(D52)</f>
        <v>0</v>
      </c>
      <c r="E49" s="55">
        <f>SUM(E52)</f>
        <v>0</v>
      </c>
      <c r="F49" s="55">
        <f aca="true" t="shared" si="6" ref="F49:N49">SUM(F50)</f>
        <v>257000</v>
      </c>
      <c r="G49" s="55">
        <f t="shared" si="6"/>
        <v>0</v>
      </c>
      <c r="H49" s="55">
        <f t="shared" si="6"/>
        <v>0</v>
      </c>
      <c r="I49" s="55">
        <f t="shared" si="6"/>
        <v>0</v>
      </c>
      <c r="J49" s="55"/>
      <c r="K49" s="55">
        <f t="shared" si="6"/>
        <v>0</v>
      </c>
      <c r="L49" s="55">
        <f t="shared" si="6"/>
        <v>0</v>
      </c>
      <c r="M49" s="55">
        <f t="shared" si="6"/>
        <v>0</v>
      </c>
      <c r="N49" s="55">
        <f t="shared" si="6"/>
        <v>0</v>
      </c>
      <c r="O49" s="56">
        <f>C49+F49+I49+L49</f>
        <v>293200</v>
      </c>
    </row>
    <row r="50" spans="1:15" s="18" customFormat="1" ht="15" customHeight="1">
      <c r="A50" s="63" t="s">
        <v>60</v>
      </c>
      <c r="B50" s="64" t="s">
        <v>196</v>
      </c>
      <c r="C50" s="64"/>
      <c r="D50" s="64"/>
      <c r="E50" s="64"/>
      <c r="F50" s="74">
        <v>257000</v>
      </c>
      <c r="G50" s="74"/>
      <c r="H50" s="74"/>
      <c r="I50" s="64"/>
      <c r="J50" s="64"/>
      <c r="K50" s="64"/>
      <c r="L50" s="64"/>
      <c r="M50" s="64"/>
      <c r="N50" s="64"/>
      <c r="O50" s="56">
        <f>C50+F50+I50+L50</f>
        <v>257000</v>
      </c>
    </row>
    <row r="51" spans="1:15" s="18" customFormat="1" ht="15" customHeight="1">
      <c r="A51" s="63" t="s">
        <v>61</v>
      </c>
      <c r="B51" s="64" t="s">
        <v>289</v>
      </c>
      <c r="C51" s="74">
        <v>10000</v>
      </c>
      <c r="D51" s="64"/>
      <c r="E51" s="64"/>
      <c r="F51" s="74"/>
      <c r="G51" s="74"/>
      <c r="H51" s="74"/>
      <c r="I51" s="64"/>
      <c r="J51" s="64"/>
      <c r="K51" s="64"/>
      <c r="L51" s="64"/>
      <c r="M51" s="64"/>
      <c r="N51" s="64"/>
      <c r="O51" s="56">
        <f>C51+F51+I51+L51</f>
        <v>10000</v>
      </c>
    </row>
    <row r="52" spans="1:15" s="4" customFormat="1" ht="15" customHeight="1">
      <c r="A52" s="150" t="s">
        <v>259</v>
      </c>
      <c r="B52" s="151" t="s">
        <v>300</v>
      </c>
      <c r="C52" s="59">
        <f>26200</f>
        <v>26200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6">
        <f>C52+F52+I52+L52</f>
        <v>26200</v>
      </c>
    </row>
    <row r="53" spans="1:15" s="4" customFormat="1" ht="15" customHeight="1">
      <c r="A53" s="75"/>
      <c r="B53" s="198" t="s">
        <v>359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200"/>
    </row>
    <row r="54" spans="1:18" s="14" customFormat="1" ht="15.75" customHeight="1">
      <c r="A54" s="73"/>
      <c r="B54" s="54" t="s">
        <v>41</v>
      </c>
      <c r="C54" s="55">
        <f>C55</f>
        <v>77700</v>
      </c>
      <c r="D54" s="55">
        <f aca="true" t="shared" si="7" ref="D54:N54">D55</f>
        <v>21500</v>
      </c>
      <c r="E54" s="55">
        <f t="shared" si="7"/>
        <v>0</v>
      </c>
      <c r="F54" s="55">
        <f t="shared" si="7"/>
        <v>637900</v>
      </c>
      <c r="G54" s="55">
        <f t="shared" si="7"/>
        <v>0</v>
      </c>
      <c r="H54" s="55">
        <f t="shared" si="7"/>
        <v>590277</v>
      </c>
      <c r="I54" s="55">
        <f t="shared" si="7"/>
        <v>0</v>
      </c>
      <c r="J54" s="55">
        <f t="shared" si="7"/>
        <v>0</v>
      </c>
      <c r="K54" s="55">
        <f t="shared" si="7"/>
        <v>0</v>
      </c>
      <c r="L54" s="55">
        <f t="shared" si="7"/>
        <v>0</v>
      </c>
      <c r="M54" s="55">
        <f t="shared" si="7"/>
        <v>0</v>
      </c>
      <c r="N54" s="55">
        <f t="shared" si="7"/>
        <v>0</v>
      </c>
      <c r="O54" s="56">
        <f aca="true" t="shared" si="8" ref="O54:O62">C54+F54+I54+L54</f>
        <v>715600</v>
      </c>
      <c r="Q54" s="18"/>
      <c r="R54" s="13"/>
    </row>
    <row r="55" spans="1:15" s="4" customFormat="1" ht="15" customHeight="1">
      <c r="A55" s="53" t="s">
        <v>73</v>
      </c>
      <c r="B55" s="54" t="s">
        <v>54</v>
      </c>
      <c r="C55" s="56">
        <f>SUM(C56:C62)</f>
        <v>77700</v>
      </c>
      <c r="D55" s="56">
        <f>SUM(D56:D62)</f>
        <v>21500</v>
      </c>
      <c r="E55" s="56">
        <f aca="true" t="shared" si="9" ref="E55:N55">SUM(E56:E62)</f>
        <v>0</v>
      </c>
      <c r="F55" s="56">
        <f t="shared" si="9"/>
        <v>637900</v>
      </c>
      <c r="G55" s="56">
        <f t="shared" si="9"/>
        <v>0</v>
      </c>
      <c r="H55" s="56">
        <f t="shared" si="9"/>
        <v>590277</v>
      </c>
      <c r="I55" s="56">
        <f t="shared" si="9"/>
        <v>0</v>
      </c>
      <c r="J55" s="56">
        <f t="shared" si="9"/>
        <v>0</v>
      </c>
      <c r="K55" s="56">
        <f t="shared" si="9"/>
        <v>0</v>
      </c>
      <c r="L55" s="56">
        <f t="shared" si="9"/>
        <v>0</v>
      </c>
      <c r="M55" s="56">
        <f t="shared" si="9"/>
        <v>0</v>
      </c>
      <c r="N55" s="56">
        <f t="shared" si="9"/>
        <v>0</v>
      </c>
      <c r="O55" s="56">
        <f t="shared" si="8"/>
        <v>715600</v>
      </c>
    </row>
    <row r="56" spans="1:15" s="4" customFormat="1" ht="15" customHeight="1">
      <c r="A56" s="63" t="s">
        <v>88</v>
      </c>
      <c r="B56" s="76" t="s">
        <v>211</v>
      </c>
      <c r="C56" s="59">
        <v>53900</v>
      </c>
      <c r="D56" s="59">
        <v>21500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6">
        <f t="shared" si="8"/>
        <v>53900</v>
      </c>
    </row>
    <row r="57" spans="1:15" s="4" customFormat="1" ht="15" customHeight="1">
      <c r="A57" s="57" t="s">
        <v>293</v>
      </c>
      <c r="B57" s="76" t="s">
        <v>260</v>
      </c>
      <c r="C57" s="59">
        <v>10000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6">
        <f t="shared" si="8"/>
        <v>10000</v>
      </c>
    </row>
    <row r="58" spans="1:15" s="160" customFormat="1" ht="15" customHeight="1">
      <c r="A58" s="171" t="s">
        <v>301</v>
      </c>
      <c r="B58" s="172" t="s">
        <v>302</v>
      </c>
      <c r="C58" s="173">
        <f>17800-4000</f>
        <v>13800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4">
        <f t="shared" si="8"/>
        <v>13800</v>
      </c>
    </row>
    <row r="59" spans="1:15" s="4" customFormat="1" ht="29.25" customHeight="1">
      <c r="A59" s="57" t="s">
        <v>490</v>
      </c>
      <c r="B59" s="77" t="s">
        <v>491</v>
      </c>
      <c r="C59" s="59"/>
      <c r="D59" s="59"/>
      <c r="E59" s="59"/>
      <c r="F59" s="59">
        <v>156100</v>
      </c>
      <c r="G59" s="59"/>
      <c r="H59" s="59">
        <v>156100</v>
      </c>
      <c r="I59" s="59"/>
      <c r="J59" s="59"/>
      <c r="K59" s="59"/>
      <c r="L59" s="59"/>
      <c r="M59" s="59"/>
      <c r="N59" s="59"/>
      <c r="O59" s="79">
        <f t="shared" si="8"/>
        <v>156100</v>
      </c>
    </row>
    <row r="60" spans="1:15" s="4" customFormat="1" ht="31.5" customHeight="1">
      <c r="A60" s="57" t="s">
        <v>492</v>
      </c>
      <c r="B60" s="77" t="s">
        <v>493</v>
      </c>
      <c r="C60" s="59"/>
      <c r="D60" s="59"/>
      <c r="E60" s="59"/>
      <c r="F60" s="59">
        <v>273000</v>
      </c>
      <c r="G60" s="59"/>
      <c r="H60" s="59">
        <v>273000</v>
      </c>
      <c r="I60" s="59"/>
      <c r="J60" s="59"/>
      <c r="K60" s="59"/>
      <c r="L60" s="59"/>
      <c r="M60" s="59"/>
      <c r="N60" s="59"/>
      <c r="O60" s="79">
        <f>C60+F60+I60+L60</f>
        <v>273000</v>
      </c>
    </row>
    <row r="61" spans="1:15" s="160" customFormat="1" ht="43.5" customHeight="1">
      <c r="A61" s="122" t="s">
        <v>526</v>
      </c>
      <c r="B61" s="175" t="s">
        <v>527</v>
      </c>
      <c r="C61" s="126"/>
      <c r="D61" s="126"/>
      <c r="E61" s="126"/>
      <c r="F61" s="126">
        <f>73747+87430</f>
        <v>161177</v>
      </c>
      <c r="G61" s="126"/>
      <c r="H61" s="126">
        <f>73747+87430</f>
        <v>161177</v>
      </c>
      <c r="I61" s="126"/>
      <c r="J61" s="126"/>
      <c r="K61" s="126"/>
      <c r="L61" s="126"/>
      <c r="M61" s="126"/>
      <c r="N61" s="126"/>
      <c r="O61" s="174">
        <f>C61+F61+I61+L61</f>
        <v>161177</v>
      </c>
    </row>
    <row r="62" spans="1:15" s="160" customFormat="1" ht="17.25" customHeight="1">
      <c r="A62" s="176" t="s">
        <v>561</v>
      </c>
      <c r="B62" s="177" t="s">
        <v>562</v>
      </c>
      <c r="C62" s="178"/>
      <c r="D62" s="126"/>
      <c r="E62" s="126"/>
      <c r="F62" s="126">
        <v>47623</v>
      </c>
      <c r="G62" s="126"/>
      <c r="H62" s="126"/>
      <c r="I62" s="126"/>
      <c r="J62" s="126"/>
      <c r="K62" s="126"/>
      <c r="L62" s="126"/>
      <c r="M62" s="126"/>
      <c r="N62" s="126"/>
      <c r="O62" s="174">
        <f t="shared" si="8"/>
        <v>47623</v>
      </c>
    </row>
    <row r="63" spans="1:15" s="3" customFormat="1" ht="15.75" customHeight="1">
      <c r="A63" s="72"/>
      <c r="B63" s="208" t="s">
        <v>494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10"/>
    </row>
    <row r="64" spans="1:18" s="14" customFormat="1" ht="15.75" customHeight="1">
      <c r="A64" s="73"/>
      <c r="B64" s="54" t="s">
        <v>41</v>
      </c>
      <c r="C64" s="55">
        <f aca="true" t="shared" si="10" ref="C64:N64">C65+C97</f>
        <v>1649594</v>
      </c>
      <c r="D64" s="55">
        <f t="shared" si="10"/>
        <v>11000</v>
      </c>
      <c r="E64" s="55">
        <f t="shared" si="10"/>
        <v>94500</v>
      </c>
      <c r="F64" s="55">
        <f t="shared" si="10"/>
        <v>1113854</v>
      </c>
      <c r="G64" s="55">
        <f t="shared" si="10"/>
        <v>302700</v>
      </c>
      <c r="H64" s="55">
        <f t="shared" si="10"/>
        <v>655260</v>
      </c>
      <c r="I64" s="55">
        <f t="shared" si="10"/>
        <v>1345200</v>
      </c>
      <c r="J64" s="55">
        <f t="shared" si="10"/>
        <v>0</v>
      </c>
      <c r="K64" s="55">
        <f t="shared" si="10"/>
        <v>894600</v>
      </c>
      <c r="L64" s="55">
        <f t="shared" si="10"/>
        <v>0</v>
      </c>
      <c r="M64" s="55">
        <f t="shared" si="10"/>
        <v>0</v>
      </c>
      <c r="N64" s="55">
        <f t="shared" si="10"/>
        <v>0</v>
      </c>
      <c r="O64" s="56">
        <f aca="true" t="shared" si="11" ref="O64:O95">C64+F64+I64+L64</f>
        <v>4108648</v>
      </c>
      <c r="Q64" s="18"/>
      <c r="R64" s="13"/>
    </row>
    <row r="65" spans="1:15" s="14" customFormat="1" ht="15.75" customHeight="1">
      <c r="A65" s="53" t="s">
        <v>74</v>
      </c>
      <c r="B65" s="54" t="s">
        <v>54</v>
      </c>
      <c r="C65" s="55">
        <f>SUM(C66:C84)</f>
        <v>1623894</v>
      </c>
      <c r="D65" s="55">
        <f aca="true" t="shared" si="12" ref="D65:N65">SUM(D66:D84)</f>
        <v>0</v>
      </c>
      <c r="E65" s="55">
        <f t="shared" si="12"/>
        <v>94500</v>
      </c>
      <c r="F65" s="55">
        <f t="shared" si="12"/>
        <v>690954</v>
      </c>
      <c r="G65" s="55">
        <f t="shared" si="12"/>
        <v>0</v>
      </c>
      <c r="H65" s="55">
        <f t="shared" si="12"/>
        <v>655260</v>
      </c>
      <c r="I65" s="55">
        <f t="shared" si="12"/>
        <v>1345200</v>
      </c>
      <c r="J65" s="55">
        <f t="shared" si="12"/>
        <v>0</v>
      </c>
      <c r="K65" s="55">
        <f t="shared" si="12"/>
        <v>894600</v>
      </c>
      <c r="L65" s="55">
        <f t="shared" si="12"/>
        <v>0</v>
      </c>
      <c r="M65" s="55">
        <f t="shared" si="12"/>
        <v>0</v>
      </c>
      <c r="N65" s="55">
        <f t="shared" si="12"/>
        <v>0</v>
      </c>
      <c r="O65" s="56">
        <f t="shared" si="11"/>
        <v>3660048</v>
      </c>
    </row>
    <row r="66" spans="1:15" s="4" customFormat="1" ht="45" customHeight="1">
      <c r="A66" s="63" t="s">
        <v>89</v>
      </c>
      <c r="B66" s="58" t="s">
        <v>261</v>
      </c>
      <c r="C66" s="59">
        <v>125000</v>
      </c>
      <c r="D66" s="59"/>
      <c r="E66" s="59">
        <v>55000</v>
      </c>
      <c r="F66" s="59"/>
      <c r="G66" s="59"/>
      <c r="H66" s="59"/>
      <c r="I66" s="59"/>
      <c r="J66" s="59"/>
      <c r="K66" s="59"/>
      <c r="L66" s="59"/>
      <c r="M66" s="59"/>
      <c r="N66" s="59"/>
      <c r="O66" s="56">
        <f t="shared" si="11"/>
        <v>125000</v>
      </c>
    </row>
    <row r="67" spans="1:15" s="18" customFormat="1" ht="29.25" customHeight="1">
      <c r="A67" s="63" t="s">
        <v>90</v>
      </c>
      <c r="B67" s="64" t="s">
        <v>262</v>
      </c>
      <c r="C67" s="74">
        <f>60000+50000-50000+9894</f>
        <v>69894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56">
        <f t="shared" si="11"/>
        <v>69894</v>
      </c>
    </row>
    <row r="68" spans="1:15" s="4" customFormat="1" ht="43.5" customHeight="1">
      <c r="A68" s="63" t="s">
        <v>91</v>
      </c>
      <c r="B68" s="64" t="s">
        <v>353</v>
      </c>
      <c r="C68" s="59">
        <f>90000-10000</f>
        <v>80000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6">
        <f t="shared" si="11"/>
        <v>80000</v>
      </c>
    </row>
    <row r="69" spans="1:15" s="4" customFormat="1" ht="29.25" customHeight="1">
      <c r="A69" s="63" t="s">
        <v>141</v>
      </c>
      <c r="B69" s="64" t="s">
        <v>495</v>
      </c>
      <c r="C69" s="59">
        <v>53900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6">
        <f t="shared" si="11"/>
        <v>53900</v>
      </c>
    </row>
    <row r="70" spans="1:15" s="129" customFormat="1" ht="30" customHeight="1">
      <c r="A70" s="127" t="s">
        <v>142</v>
      </c>
      <c r="B70" s="128" t="s">
        <v>496</v>
      </c>
      <c r="C70" s="190">
        <f>50000-15000</f>
        <v>35000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4">
        <f t="shared" si="11"/>
        <v>35000</v>
      </c>
    </row>
    <row r="71" spans="1:15" s="14" customFormat="1" ht="43.5" customHeight="1">
      <c r="A71" s="63" t="s">
        <v>143</v>
      </c>
      <c r="B71" s="64" t="s">
        <v>263</v>
      </c>
      <c r="C71" s="59">
        <v>332000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6">
        <f t="shared" si="11"/>
        <v>332000</v>
      </c>
    </row>
    <row r="72" spans="1:15" s="4" customFormat="1" ht="17.25" customHeight="1">
      <c r="A72" s="63" t="s">
        <v>144</v>
      </c>
      <c r="B72" s="58" t="s">
        <v>297</v>
      </c>
      <c r="C72" s="59">
        <v>6000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6">
        <f t="shared" si="11"/>
        <v>6000</v>
      </c>
    </row>
    <row r="73" spans="1:15" s="14" customFormat="1" ht="17.25" customHeight="1">
      <c r="A73" s="63" t="s">
        <v>145</v>
      </c>
      <c r="B73" s="64" t="s">
        <v>42</v>
      </c>
      <c r="C73" s="59">
        <v>15000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6">
        <f t="shared" si="11"/>
        <v>15000</v>
      </c>
    </row>
    <row r="74" spans="1:15" s="162" customFormat="1" ht="29.25" customHeight="1">
      <c r="A74" s="127" t="s">
        <v>146</v>
      </c>
      <c r="B74" s="128" t="s">
        <v>265</v>
      </c>
      <c r="C74" s="131">
        <f>200000-15000</f>
        <v>185000</v>
      </c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24">
        <f t="shared" si="11"/>
        <v>185000</v>
      </c>
    </row>
    <row r="75" spans="1:15" s="18" customFormat="1" ht="43.5" customHeight="1">
      <c r="A75" s="63" t="s">
        <v>147</v>
      </c>
      <c r="B75" s="64" t="s">
        <v>363</v>
      </c>
      <c r="C75" s="74">
        <v>15000</v>
      </c>
      <c r="D75" s="74"/>
      <c r="E75" s="74">
        <v>15000</v>
      </c>
      <c r="F75" s="74"/>
      <c r="G75" s="74"/>
      <c r="H75" s="74"/>
      <c r="I75" s="74"/>
      <c r="J75" s="74"/>
      <c r="K75" s="74"/>
      <c r="L75" s="74"/>
      <c r="M75" s="74"/>
      <c r="N75" s="74"/>
      <c r="O75" s="56">
        <f t="shared" si="11"/>
        <v>15000</v>
      </c>
    </row>
    <row r="76" spans="1:15" s="4" customFormat="1" ht="16.5" customHeight="1">
      <c r="A76" s="63" t="s">
        <v>296</v>
      </c>
      <c r="B76" s="58" t="s">
        <v>497</v>
      </c>
      <c r="C76" s="59">
        <v>10000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6">
        <f t="shared" si="11"/>
        <v>10000</v>
      </c>
    </row>
    <row r="77" spans="1:15" s="4" customFormat="1" ht="44.25" customHeight="1">
      <c r="A77" s="63" t="s">
        <v>370</v>
      </c>
      <c r="B77" s="58" t="s">
        <v>498</v>
      </c>
      <c r="C77" s="59">
        <v>19500</v>
      </c>
      <c r="D77" s="59"/>
      <c r="E77" s="59">
        <v>19500</v>
      </c>
      <c r="F77" s="59">
        <v>45500</v>
      </c>
      <c r="G77" s="59"/>
      <c r="H77" s="59">
        <v>45500</v>
      </c>
      <c r="I77" s="59"/>
      <c r="J77" s="59"/>
      <c r="K77" s="59"/>
      <c r="L77" s="59"/>
      <c r="M77" s="59"/>
      <c r="N77" s="59"/>
      <c r="O77" s="56">
        <f t="shared" si="11"/>
        <v>65000</v>
      </c>
    </row>
    <row r="78" spans="1:15" s="18" customFormat="1" ht="30" customHeight="1">
      <c r="A78" s="63" t="s">
        <v>499</v>
      </c>
      <c r="B78" s="58" t="s">
        <v>500</v>
      </c>
      <c r="C78" s="74"/>
      <c r="D78" s="74"/>
      <c r="E78" s="74"/>
      <c r="F78" s="74">
        <v>158000</v>
      </c>
      <c r="G78" s="74"/>
      <c r="H78" s="74">
        <v>158000</v>
      </c>
      <c r="I78" s="74"/>
      <c r="J78" s="74"/>
      <c r="K78" s="74"/>
      <c r="L78" s="74"/>
      <c r="M78" s="74"/>
      <c r="N78" s="74"/>
      <c r="O78" s="56">
        <f t="shared" si="11"/>
        <v>158000</v>
      </c>
    </row>
    <row r="79" spans="1:15" s="4" customFormat="1" ht="16.5" customHeight="1">
      <c r="A79" s="63" t="s">
        <v>501</v>
      </c>
      <c r="B79" s="58" t="s">
        <v>264</v>
      </c>
      <c r="C79" s="59">
        <v>12000</v>
      </c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6">
        <f>C79+F79+I79+L79</f>
        <v>12000</v>
      </c>
    </row>
    <row r="80" spans="1:15" s="160" customFormat="1" ht="60" customHeight="1">
      <c r="A80" s="127" t="s">
        <v>502</v>
      </c>
      <c r="B80" s="123" t="s">
        <v>524</v>
      </c>
      <c r="C80" s="126"/>
      <c r="D80" s="126"/>
      <c r="E80" s="126"/>
      <c r="F80" s="126"/>
      <c r="G80" s="126"/>
      <c r="H80" s="126"/>
      <c r="I80" s="126">
        <f>1385200-40000</f>
        <v>1345200</v>
      </c>
      <c r="J80" s="126"/>
      <c r="K80" s="125">
        <f>934600-40000</f>
        <v>894600</v>
      </c>
      <c r="L80" s="126"/>
      <c r="M80" s="126"/>
      <c r="N80" s="126"/>
      <c r="O80" s="124">
        <f t="shared" si="11"/>
        <v>1345200</v>
      </c>
    </row>
    <row r="81" spans="1:15" s="4" customFormat="1" ht="31.5" customHeight="1">
      <c r="A81" s="63" t="s">
        <v>528</v>
      </c>
      <c r="B81" s="58" t="s">
        <v>529</v>
      </c>
      <c r="C81" s="59"/>
      <c r="D81" s="59"/>
      <c r="E81" s="59"/>
      <c r="F81" s="59">
        <v>35694</v>
      </c>
      <c r="G81" s="59"/>
      <c r="H81" s="59"/>
      <c r="I81" s="59"/>
      <c r="J81" s="59"/>
      <c r="K81" s="60"/>
      <c r="L81" s="59"/>
      <c r="M81" s="59"/>
      <c r="N81" s="59"/>
      <c r="O81" s="56">
        <f t="shared" si="11"/>
        <v>35694</v>
      </c>
    </row>
    <row r="82" spans="1:15" s="160" customFormat="1" ht="30" customHeight="1">
      <c r="A82" s="127" t="s">
        <v>530</v>
      </c>
      <c r="B82" s="123" t="s">
        <v>531</v>
      </c>
      <c r="C82" s="126"/>
      <c r="D82" s="126"/>
      <c r="E82" s="126"/>
      <c r="F82" s="126">
        <f>268884+18538</f>
        <v>287422</v>
      </c>
      <c r="G82" s="126"/>
      <c r="H82" s="126">
        <f>268884+18538</f>
        <v>287422</v>
      </c>
      <c r="I82" s="126"/>
      <c r="J82" s="126"/>
      <c r="K82" s="125"/>
      <c r="L82" s="126"/>
      <c r="M82" s="126"/>
      <c r="N82" s="126"/>
      <c r="O82" s="124">
        <f t="shared" si="11"/>
        <v>287422</v>
      </c>
    </row>
    <row r="83" spans="1:15" s="160" customFormat="1" ht="30.75" customHeight="1">
      <c r="A83" s="127" t="s">
        <v>532</v>
      </c>
      <c r="B83" s="123" t="s">
        <v>563</v>
      </c>
      <c r="C83" s="126"/>
      <c r="D83" s="126"/>
      <c r="E83" s="126"/>
      <c r="F83" s="126">
        <f>19478+144860</f>
        <v>164338</v>
      </c>
      <c r="G83" s="126"/>
      <c r="H83" s="126">
        <f>19478+144860</f>
        <v>164338</v>
      </c>
      <c r="I83" s="126"/>
      <c r="J83" s="126"/>
      <c r="K83" s="125"/>
      <c r="L83" s="126"/>
      <c r="M83" s="126"/>
      <c r="N83" s="126"/>
      <c r="O83" s="124">
        <f t="shared" si="11"/>
        <v>164338</v>
      </c>
    </row>
    <row r="84" spans="1:15" s="3" customFormat="1" ht="29.25" customHeight="1">
      <c r="A84" s="73" t="s">
        <v>75</v>
      </c>
      <c r="B84" s="58" t="s">
        <v>266</v>
      </c>
      <c r="C84" s="59">
        <f aca="true" t="shared" si="13" ref="C84:O84">SUM(C85:C96)</f>
        <v>665600</v>
      </c>
      <c r="D84" s="56">
        <f t="shared" si="13"/>
        <v>0</v>
      </c>
      <c r="E84" s="59">
        <f t="shared" si="13"/>
        <v>5000</v>
      </c>
      <c r="F84" s="56">
        <f t="shared" si="13"/>
        <v>0</v>
      </c>
      <c r="G84" s="56">
        <f t="shared" si="13"/>
        <v>0</v>
      </c>
      <c r="H84" s="56">
        <f t="shared" si="13"/>
        <v>0</v>
      </c>
      <c r="I84" s="56">
        <f t="shared" si="13"/>
        <v>0</v>
      </c>
      <c r="J84" s="56">
        <f t="shared" si="13"/>
        <v>0</v>
      </c>
      <c r="K84" s="56">
        <f t="shared" si="13"/>
        <v>0</v>
      </c>
      <c r="L84" s="56">
        <f t="shared" si="13"/>
        <v>0</v>
      </c>
      <c r="M84" s="56">
        <f t="shared" si="13"/>
        <v>0</v>
      </c>
      <c r="N84" s="56">
        <f t="shared" si="13"/>
        <v>0</v>
      </c>
      <c r="O84" s="56">
        <f t="shared" si="13"/>
        <v>665600</v>
      </c>
    </row>
    <row r="85" spans="1:15" s="4" customFormat="1" ht="15" customHeight="1">
      <c r="A85" s="57" t="s">
        <v>92</v>
      </c>
      <c r="B85" s="58" t="s">
        <v>12</v>
      </c>
      <c r="C85" s="59">
        <f>14700+5000</f>
        <v>19700</v>
      </c>
      <c r="D85" s="59"/>
      <c r="E85" s="59">
        <v>5000</v>
      </c>
      <c r="F85" s="59"/>
      <c r="G85" s="59"/>
      <c r="H85" s="59"/>
      <c r="I85" s="59"/>
      <c r="J85" s="59"/>
      <c r="K85" s="59"/>
      <c r="L85" s="59"/>
      <c r="M85" s="59"/>
      <c r="N85" s="59"/>
      <c r="O85" s="56">
        <f t="shared" si="11"/>
        <v>19700</v>
      </c>
    </row>
    <row r="86" spans="1:15" s="4" customFormat="1" ht="15" customHeight="1">
      <c r="A86" s="63" t="s">
        <v>93</v>
      </c>
      <c r="B86" s="58" t="s">
        <v>11</v>
      </c>
      <c r="C86" s="59">
        <v>7600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6">
        <f t="shared" si="11"/>
        <v>7600</v>
      </c>
    </row>
    <row r="87" spans="1:15" s="3" customFormat="1" ht="15" customHeight="1">
      <c r="A87" s="63" t="s">
        <v>94</v>
      </c>
      <c r="B87" s="58" t="s">
        <v>10</v>
      </c>
      <c r="C87" s="59">
        <f>4200</f>
        <v>4200</v>
      </c>
      <c r="D87" s="56">
        <f aca="true" t="shared" si="14" ref="D87:N87">SUM(D88)</f>
        <v>0</v>
      </c>
      <c r="E87" s="56">
        <f t="shared" si="14"/>
        <v>0</v>
      </c>
      <c r="F87" s="56">
        <f t="shared" si="14"/>
        <v>0</v>
      </c>
      <c r="G87" s="56">
        <f t="shared" si="14"/>
        <v>0</v>
      </c>
      <c r="H87" s="56">
        <f t="shared" si="14"/>
        <v>0</v>
      </c>
      <c r="I87" s="56">
        <f t="shared" si="14"/>
        <v>0</v>
      </c>
      <c r="J87" s="56"/>
      <c r="K87" s="56">
        <f t="shared" si="14"/>
        <v>0</v>
      </c>
      <c r="L87" s="56">
        <f t="shared" si="14"/>
        <v>0</v>
      </c>
      <c r="M87" s="56">
        <f t="shared" si="14"/>
        <v>0</v>
      </c>
      <c r="N87" s="56">
        <f t="shared" si="14"/>
        <v>0</v>
      </c>
      <c r="O87" s="56">
        <f t="shared" si="11"/>
        <v>4200</v>
      </c>
    </row>
    <row r="88" spans="1:15" s="4" customFormat="1" ht="15" customHeight="1">
      <c r="A88" s="63" t="s">
        <v>148</v>
      </c>
      <c r="B88" s="58" t="s">
        <v>9</v>
      </c>
      <c r="C88" s="59">
        <f>13900</f>
        <v>13900</v>
      </c>
      <c r="D88" s="59"/>
      <c r="E88" s="59"/>
      <c r="F88" s="56"/>
      <c r="G88" s="59"/>
      <c r="H88" s="59"/>
      <c r="I88" s="56"/>
      <c r="J88" s="56"/>
      <c r="K88" s="59"/>
      <c r="L88" s="56"/>
      <c r="M88" s="59"/>
      <c r="N88" s="59"/>
      <c r="O88" s="56">
        <f t="shared" si="11"/>
        <v>13900</v>
      </c>
    </row>
    <row r="89" spans="1:15" s="4" customFormat="1" ht="15" customHeight="1">
      <c r="A89" s="63" t="s">
        <v>149</v>
      </c>
      <c r="B89" s="58" t="s">
        <v>8</v>
      </c>
      <c r="C89" s="59">
        <v>8900</v>
      </c>
      <c r="D89" s="59"/>
      <c r="E89" s="59"/>
      <c r="F89" s="56"/>
      <c r="G89" s="59"/>
      <c r="H89" s="59"/>
      <c r="I89" s="56"/>
      <c r="J89" s="56"/>
      <c r="K89" s="59"/>
      <c r="L89" s="56"/>
      <c r="M89" s="59"/>
      <c r="N89" s="59"/>
      <c r="O89" s="56">
        <f t="shared" si="11"/>
        <v>8900</v>
      </c>
    </row>
    <row r="90" spans="1:15" s="4" customFormat="1" ht="15" customHeight="1">
      <c r="A90" s="63" t="s">
        <v>150</v>
      </c>
      <c r="B90" s="58" t="s">
        <v>7</v>
      </c>
      <c r="C90" s="59">
        <f>13500</f>
        <v>13500</v>
      </c>
      <c r="D90" s="59"/>
      <c r="E90" s="59"/>
      <c r="F90" s="56"/>
      <c r="G90" s="59"/>
      <c r="H90" s="59"/>
      <c r="I90" s="56"/>
      <c r="J90" s="56"/>
      <c r="K90" s="59"/>
      <c r="L90" s="56"/>
      <c r="M90" s="59"/>
      <c r="N90" s="59"/>
      <c r="O90" s="56">
        <f t="shared" si="11"/>
        <v>13500</v>
      </c>
    </row>
    <row r="91" spans="1:15" s="4" customFormat="1" ht="15" customHeight="1">
      <c r="A91" s="63" t="s">
        <v>151</v>
      </c>
      <c r="B91" s="58" t="s">
        <v>6</v>
      </c>
      <c r="C91" s="59">
        <f>11100</f>
        <v>11100</v>
      </c>
      <c r="D91" s="59"/>
      <c r="E91" s="59"/>
      <c r="F91" s="56"/>
      <c r="G91" s="59"/>
      <c r="H91" s="59"/>
      <c r="I91" s="56"/>
      <c r="J91" s="56"/>
      <c r="K91" s="59"/>
      <c r="L91" s="56"/>
      <c r="M91" s="59"/>
      <c r="N91" s="59"/>
      <c r="O91" s="56">
        <f t="shared" si="11"/>
        <v>11100</v>
      </c>
    </row>
    <row r="92" spans="1:15" s="4" customFormat="1" ht="15" customHeight="1">
      <c r="A92" s="63" t="s">
        <v>152</v>
      </c>
      <c r="B92" s="58" t="s">
        <v>5</v>
      </c>
      <c r="C92" s="59">
        <f>6100</f>
        <v>6100</v>
      </c>
      <c r="D92" s="59"/>
      <c r="E92" s="59"/>
      <c r="F92" s="56"/>
      <c r="G92" s="59"/>
      <c r="H92" s="59"/>
      <c r="I92" s="56"/>
      <c r="J92" s="56"/>
      <c r="K92" s="59"/>
      <c r="L92" s="56"/>
      <c r="M92" s="59"/>
      <c r="N92" s="59"/>
      <c r="O92" s="56">
        <f t="shared" si="11"/>
        <v>6100</v>
      </c>
    </row>
    <row r="93" spans="1:15" s="4" customFormat="1" ht="15" customHeight="1">
      <c r="A93" s="63" t="s">
        <v>153</v>
      </c>
      <c r="B93" s="58" t="s">
        <v>4</v>
      </c>
      <c r="C93" s="59">
        <f>12400</f>
        <v>12400</v>
      </c>
      <c r="D93" s="59"/>
      <c r="E93" s="59"/>
      <c r="F93" s="56"/>
      <c r="G93" s="59"/>
      <c r="H93" s="59"/>
      <c r="I93" s="56"/>
      <c r="J93" s="56"/>
      <c r="K93" s="59"/>
      <c r="L93" s="56"/>
      <c r="M93" s="59"/>
      <c r="N93" s="59"/>
      <c r="O93" s="56">
        <f t="shared" si="11"/>
        <v>12400</v>
      </c>
    </row>
    <row r="94" spans="1:15" s="4" customFormat="1" ht="15" customHeight="1">
      <c r="A94" s="80" t="s">
        <v>154</v>
      </c>
      <c r="B94" s="58" t="s">
        <v>3</v>
      </c>
      <c r="C94" s="59">
        <v>10600</v>
      </c>
      <c r="D94" s="59"/>
      <c r="E94" s="59"/>
      <c r="F94" s="56"/>
      <c r="G94" s="59"/>
      <c r="H94" s="59"/>
      <c r="I94" s="56"/>
      <c r="J94" s="56"/>
      <c r="K94" s="59"/>
      <c r="L94" s="56"/>
      <c r="M94" s="59"/>
      <c r="N94" s="59"/>
      <c r="O94" s="56">
        <f t="shared" si="11"/>
        <v>10600</v>
      </c>
    </row>
    <row r="95" spans="1:15" s="4" customFormat="1" ht="15" customHeight="1">
      <c r="A95" s="80" t="s">
        <v>155</v>
      </c>
      <c r="B95" s="58" t="s">
        <v>2</v>
      </c>
      <c r="C95" s="59">
        <f>7600</f>
        <v>7600</v>
      </c>
      <c r="D95" s="59"/>
      <c r="E95" s="59"/>
      <c r="F95" s="56"/>
      <c r="G95" s="59"/>
      <c r="H95" s="59"/>
      <c r="I95" s="56"/>
      <c r="J95" s="56"/>
      <c r="K95" s="59"/>
      <c r="L95" s="56"/>
      <c r="M95" s="59"/>
      <c r="N95" s="59"/>
      <c r="O95" s="56">
        <f t="shared" si="11"/>
        <v>7600</v>
      </c>
    </row>
    <row r="96" spans="1:15" s="129" customFormat="1" ht="30" customHeight="1">
      <c r="A96" s="127" t="s">
        <v>222</v>
      </c>
      <c r="B96" s="128" t="s">
        <v>221</v>
      </c>
      <c r="C96" s="126">
        <f>520000+30000</f>
        <v>550000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4">
        <f>C96+F96+I96+L96</f>
        <v>550000</v>
      </c>
    </row>
    <row r="97" spans="1:15" s="4" customFormat="1" ht="18" customHeight="1">
      <c r="A97" s="53" t="s">
        <v>76</v>
      </c>
      <c r="B97" s="81" t="s">
        <v>156</v>
      </c>
      <c r="C97" s="56">
        <f>25700</f>
        <v>25700</v>
      </c>
      <c r="D97" s="56">
        <v>11000</v>
      </c>
      <c r="E97" s="56"/>
      <c r="F97" s="56">
        <v>422900</v>
      </c>
      <c r="G97" s="56">
        <v>302700</v>
      </c>
      <c r="H97" s="56"/>
      <c r="I97" s="56"/>
      <c r="J97" s="56"/>
      <c r="K97" s="56"/>
      <c r="L97" s="56"/>
      <c r="M97" s="56"/>
      <c r="N97" s="56"/>
      <c r="O97" s="56">
        <f>C97+F97+I97+L97</f>
        <v>448600</v>
      </c>
    </row>
    <row r="98" spans="1:15" s="3" customFormat="1" ht="18.75" customHeight="1">
      <c r="A98" s="72"/>
      <c r="B98" s="207" t="s">
        <v>360</v>
      </c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8" s="14" customFormat="1" ht="16.5" customHeight="1">
      <c r="A99" s="73"/>
      <c r="B99" s="54" t="s">
        <v>41</v>
      </c>
      <c r="C99" s="55">
        <f aca="true" t="shared" si="15" ref="C99:O99">C100+C106+C113+C117</f>
        <v>173400</v>
      </c>
      <c r="D99" s="55">
        <f t="shared" si="15"/>
        <v>0</v>
      </c>
      <c r="E99" s="55">
        <f t="shared" si="15"/>
        <v>58400</v>
      </c>
      <c r="F99" s="55">
        <f t="shared" si="15"/>
        <v>116300</v>
      </c>
      <c r="G99" s="55">
        <f t="shared" si="15"/>
        <v>74492</v>
      </c>
      <c r="H99" s="55">
        <f t="shared" si="15"/>
        <v>0</v>
      </c>
      <c r="I99" s="55">
        <f t="shared" si="15"/>
        <v>0</v>
      </c>
      <c r="J99" s="55">
        <f t="shared" si="15"/>
        <v>0</v>
      </c>
      <c r="K99" s="55">
        <f t="shared" si="15"/>
        <v>0</v>
      </c>
      <c r="L99" s="55">
        <f t="shared" si="15"/>
        <v>841497</v>
      </c>
      <c r="M99" s="55">
        <f t="shared" si="15"/>
        <v>0</v>
      </c>
      <c r="N99" s="55">
        <f t="shared" si="15"/>
        <v>0</v>
      </c>
      <c r="O99" s="55">
        <f t="shared" si="15"/>
        <v>1131197</v>
      </c>
      <c r="Q99" s="18"/>
      <c r="R99" s="13"/>
    </row>
    <row r="100" spans="1:15" s="14" customFormat="1" ht="30" customHeight="1">
      <c r="A100" s="53" t="s">
        <v>77</v>
      </c>
      <c r="B100" s="54" t="s">
        <v>368</v>
      </c>
      <c r="C100" s="55">
        <f>SUM(C101,C104,C103,C105)</f>
        <v>0</v>
      </c>
      <c r="D100" s="55">
        <f aca="true" t="shared" si="16" ref="D100:K100">SUM(D101,D104,D103,D105)</f>
        <v>0</v>
      </c>
      <c r="E100" s="55">
        <f t="shared" si="16"/>
        <v>0</v>
      </c>
      <c r="F100" s="55">
        <f t="shared" si="16"/>
        <v>0</v>
      </c>
      <c r="G100" s="55">
        <f t="shared" si="16"/>
        <v>0</v>
      </c>
      <c r="H100" s="55">
        <f t="shared" si="16"/>
        <v>0</v>
      </c>
      <c r="I100" s="55">
        <f t="shared" si="16"/>
        <v>0</v>
      </c>
      <c r="J100" s="55"/>
      <c r="K100" s="55">
        <f t="shared" si="16"/>
        <v>0</v>
      </c>
      <c r="L100" s="55">
        <f>SUM(L101:L105)</f>
        <v>77000</v>
      </c>
      <c r="M100" s="55">
        <f>SUM(M101:M105)</f>
        <v>0</v>
      </c>
      <c r="N100" s="55">
        <f>SUM(N101:N105)</f>
        <v>0</v>
      </c>
      <c r="O100" s="56">
        <f aca="true" t="shared" si="17" ref="O100:O119">C100+F100+I100+L100</f>
        <v>77000</v>
      </c>
    </row>
    <row r="101" spans="1:15" s="18" customFormat="1" ht="29.25" customHeight="1">
      <c r="A101" s="63" t="s">
        <v>95</v>
      </c>
      <c r="B101" s="64" t="s">
        <v>271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>
        <f>11000</f>
        <v>11000</v>
      </c>
      <c r="M101" s="74"/>
      <c r="N101" s="74"/>
      <c r="O101" s="56">
        <f t="shared" si="17"/>
        <v>11000</v>
      </c>
    </row>
    <row r="102" spans="1:15" s="18" customFormat="1" ht="29.25" customHeight="1">
      <c r="A102" s="82" t="s">
        <v>96</v>
      </c>
      <c r="B102" s="64" t="s">
        <v>268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>
        <f>22000+7000+2000</f>
        <v>31000</v>
      </c>
      <c r="M102" s="83"/>
      <c r="N102" s="83"/>
      <c r="O102" s="56">
        <f t="shared" si="17"/>
        <v>31000</v>
      </c>
    </row>
    <row r="103" spans="1:15" s="15" customFormat="1" ht="16.5" customHeight="1">
      <c r="A103" s="82" t="s">
        <v>97</v>
      </c>
      <c r="B103" s="84" t="s">
        <v>272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>
        <v>1000</v>
      </c>
      <c r="M103" s="78"/>
      <c r="N103" s="78"/>
      <c r="O103" s="56">
        <f t="shared" si="17"/>
        <v>1000</v>
      </c>
    </row>
    <row r="104" spans="1:15" s="18" customFormat="1" ht="30" customHeight="1">
      <c r="A104" s="63" t="s">
        <v>157</v>
      </c>
      <c r="B104" s="64" t="s">
        <v>354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>
        <f>20000+4000</f>
        <v>24000</v>
      </c>
      <c r="M104" s="74"/>
      <c r="N104" s="74"/>
      <c r="O104" s="56">
        <f t="shared" si="17"/>
        <v>24000</v>
      </c>
    </row>
    <row r="105" spans="1:15" s="19" customFormat="1" ht="18" customHeight="1">
      <c r="A105" s="63" t="s">
        <v>267</v>
      </c>
      <c r="B105" s="64" t="s">
        <v>43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>
        <v>10000</v>
      </c>
      <c r="M105" s="59"/>
      <c r="N105" s="59"/>
      <c r="O105" s="56">
        <f t="shared" si="17"/>
        <v>10000</v>
      </c>
    </row>
    <row r="106" spans="1:15" s="16" customFormat="1" ht="18.75" customHeight="1">
      <c r="A106" s="53" t="s">
        <v>78</v>
      </c>
      <c r="B106" s="54" t="s">
        <v>54</v>
      </c>
      <c r="C106" s="56">
        <f aca="true" t="shared" si="18" ref="C106:N106">SUM(C107:C112)</f>
        <v>173400</v>
      </c>
      <c r="D106" s="56">
        <f t="shared" si="18"/>
        <v>0</v>
      </c>
      <c r="E106" s="56">
        <f t="shared" si="18"/>
        <v>58400</v>
      </c>
      <c r="F106" s="56">
        <f t="shared" si="18"/>
        <v>300</v>
      </c>
      <c r="G106" s="56">
        <f t="shared" si="18"/>
        <v>192</v>
      </c>
      <c r="H106" s="56">
        <f t="shared" si="18"/>
        <v>0</v>
      </c>
      <c r="I106" s="56">
        <f t="shared" si="18"/>
        <v>0</v>
      </c>
      <c r="J106" s="56">
        <f t="shared" si="18"/>
        <v>0</v>
      </c>
      <c r="K106" s="56">
        <f t="shared" si="18"/>
        <v>0</v>
      </c>
      <c r="L106" s="56">
        <f t="shared" si="18"/>
        <v>700000</v>
      </c>
      <c r="M106" s="56">
        <f t="shared" si="18"/>
        <v>0</v>
      </c>
      <c r="N106" s="56">
        <f t="shared" si="18"/>
        <v>0</v>
      </c>
      <c r="O106" s="56">
        <f t="shared" si="17"/>
        <v>873700</v>
      </c>
    </row>
    <row r="107" spans="1:15" s="14" customFormat="1" ht="30" customHeight="1">
      <c r="A107" s="63" t="s">
        <v>200</v>
      </c>
      <c r="B107" s="64" t="s">
        <v>503</v>
      </c>
      <c r="C107" s="74">
        <v>25000</v>
      </c>
      <c r="D107" s="74"/>
      <c r="E107" s="74">
        <v>5000</v>
      </c>
      <c r="F107" s="74"/>
      <c r="G107" s="74"/>
      <c r="H107" s="74"/>
      <c r="I107" s="74">
        <f>K107</f>
        <v>0</v>
      </c>
      <c r="J107" s="74"/>
      <c r="K107" s="74"/>
      <c r="L107" s="74"/>
      <c r="M107" s="74"/>
      <c r="N107" s="74"/>
      <c r="O107" s="56">
        <f t="shared" si="17"/>
        <v>25000</v>
      </c>
    </row>
    <row r="108" spans="1:15" s="14" customFormat="1" ht="15.75" customHeight="1">
      <c r="A108" s="57" t="s">
        <v>98</v>
      </c>
      <c r="B108" s="64" t="s">
        <v>303</v>
      </c>
      <c r="C108" s="74"/>
      <c r="D108" s="55"/>
      <c r="E108" s="55"/>
      <c r="F108" s="74">
        <f>825-525</f>
        <v>300</v>
      </c>
      <c r="G108" s="74">
        <f>527-335</f>
        <v>192</v>
      </c>
      <c r="H108" s="74"/>
      <c r="I108" s="74"/>
      <c r="J108" s="55"/>
      <c r="K108" s="74"/>
      <c r="L108" s="55"/>
      <c r="M108" s="55"/>
      <c r="N108" s="55"/>
      <c r="O108" s="56">
        <f t="shared" si="17"/>
        <v>300</v>
      </c>
    </row>
    <row r="109" spans="1:15" s="14" customFormat="1" ht="30" customHeight="1">
      <c r="A109" s="57" t="s">
        <v>99</v>
      </c>
      <c r="B109" s="64" t="s">
        <v>364</v>
      </c>
      <c r="C109" s="74">
        <f>77400-45000+4800+6200</f>
        <v>43400</v>
      </c>
      <c r="D109" s="55"/>
      <c r="E109" s="74">
        <f>77400-45000+4800+6200</f>
        <v>43400</v>
      </c>
      <c r="F109" s="55"/>
      <c r="G109" s="55"/>
      <c r="H109" s="55"/>
      <c r="I109" s="74"/>
      <c r="J109" s="55"/>
      <c r="K109" s="74"/>
      <c r="L109" s="55"/>
      <c r="M109" s="55"/>
      <c r="N109" s="55"/>
      <c r="O109" s="56">
        <f t="shared" si="17"/>
        <v>43400</v>
      </c>
    </row>
    <row r="110" spans="1:15" s="18" customFormat="1" ht="16.5" customHeight="1">
      <c r="A110" s="57" t="s">
        <v>238</v>
      </c>
      <c r="B110" s="64" t="s">
        <v>201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>
        <v>700000</v>
      </c>
      <c r="M110" s="74"/>
      <c r="N110" s="74"/>
      <c r="O110" s="56">
        <f t="shared" si="17"/>
        <v>700000</v>
      </c>
    </row>
    <row r="111" spans="1:15" s="18" customFormat="1" ht="30" customHeight="1">
      <c r="A111" s="57" t="s">
        <v>533</v>
      </c>
      <c r="B111" s="64" t="s">
        <v>534</v>
      </c>
      <c r="C111" s="74">
        <v>25000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56">
        <f>C111+F111+I111+L111</f>
        <v>25000</v>
      </c>
    </row>
    <row r="112" spans="1:15" s="18" customFormat="1" ht="43.5" customHeight="1">
      <c r="A112" s="57" t="s">
        <v>554</v>
      </c>
      <c r="B112" s="64" t="s">
        <v>555</v>
      </c>
      <c r="C112" s="74">
        <v>80000</v>
      </c>
      <c r="D112" s="74"/>
      <c r="E112" s="74">
        <v>10000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56">
        <f t="shared" si="17"/>
        <v>80000</v>
      </c>
    </row>
    <row r="113" spans="1:15" s="11" customFormat="1" ht="28.5" customHeight="1">
      <c r="A113" s="53" t="s">
        <v>79</v>
      </c>
      <c r="B113" s="54" t="s">
        <v>365</v>
      </c>
      <c r="C113" s="59">
        <f aca="true" t="shared" si="19" ref="C113:N113">SUM(C114:C116)</f>
        <v>0</v>
      </c>
      <c r="D113" s="59">
        <f t="shared" si="19"/>
        <v>0</v>
      </c>
      <c r="E113" s="59">
        <f t="shared" si="19"/>
        <v>0</v>
      </c>
      <c r="F113" s="59">
        <f t="shared" si="19"/>
        <v>0</v>
      </c>
      <c r="G113" s="59">
        <f t="shared" si="19"/>
        <v>0</v>
      </c>
      <c r="H113" s="59">
        <f t="shared" si="19"/>
        <v>0</v>
      </c>
      <c r="I113" s="59">
        <f t="shared" si="19"/>
        <v>0</v>
      </c>
      <c r="J113" s="59">
        <f t="shared" si="19"/>
        <v>0</v>
      </c>
      <c r="K113" s="59">
        <f t="shared" si="19"/>
        <v>0</v>
      </c>
      <c r="L113" s="56">
        <f t="shared" si="19"/>
        <v>56497</v>
      </c>
      <c r="M113" s="59">
        <f t="shared" si="19"/>
        <v>0</v>
      </c>
      <c r="N113" s="59">
        <f t="shared" si="19"/>
        <v>0</v>
      </c>
      <c r="O113" s="56">
        <f t="shared" si="17"/>
        <v>56497</v>
      </c>
    </row>
    <row r="114" spans="1:15" s="17" customFormat="1" ht="15.75" customHeight="1">
      <c r="A114" s="80" t="s">
        <v>100</v>
      </c>
      <c r="B114" s="58" t="s">
        <v>191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>
        <v>3412</v>
      </c>
      <c r="M114" s="85"/>
      <c r="N114" s="85"/>
      <c r="O114" s="56">
        <f t="shared" si="17"/>
        <v>3412</v>
      </c>
    </row>
    <row r="115" spans="1:15" s="17" customFormat="1" ht="15.75" customHeight="1">
      <c r="A115" s="80" t="s">
        <v>101</v>
      </c>
      <c r="B115" s="58" t="s">
        <v>192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>
        <v>53000</v>
      </c>
      <c r="M115" s="85"/>
      <c r="N115" s="85"/>
      <c r="O115" s="56">
        <f t="shared" si="17"/>
        <v>53000</v>
      </c>
    </row>
    <row r="116" spans="1:15" s="17" customFormat="1" ht="15.75" customHeight="1">
      <c r="A116" s="80" t="s">
        <v>102</v>
      </c>
      <c r="B116" s="58" t="s">
        <v>193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>
        <v>85</v>
      </c>
      <c r="M116" s="85"/>
      <c r="N116" s="85"/>
      <c r="O116" s="56">
        <f t="shared" si="17"/>
        <v>85</v>
      </c>
    </row>
    <row r="117" spans="1:15" s="11" customFormat="1" ht="28.5" customHeight="1">
      <c r="A117" s="163" t="s">
        <v>223</v>
      </c>
      <c r="B117" s="81" t="s">
        <v>224</v>
      </c>
      <c r="C117" s="55">
        <f>SUM(C118,C119)</f>
        <v>0</v>
      </c>
      <c r="D117" s="55">
        <f aca="true" t="shared" si="20" ref="D117:N117">SUM(D118,D119)</f>
        <v>0</v>
      </c>
      <c r="E117" s="55">
        <f t="shared" si="20"/>
        <v>0</v>
      </c>
      <c r="F117" s="55">
        <f t="shared" si="20"/>
        <v>116000</v>
      </c>
      <c r="G117" s="55">
        <f t="shared" si="20"/>
        <v>74300</v>
      </c>
      <c r="H117" s="55">
        <f t="shared" si="20"/>
        <v>0</v>
      </c>
      <c r="I117" s="55">
        <f t="shared" si="20"/>
        <v>0</v>
      </c>
      <c r="J117" s="55">
        <f t="shared" si="20"/>
        <v>0</v>
      </c>
      <c r="K117" s="55">
        <f t="shared" si="20"/>
        <v>0</v>
      </c>
      <c r="L117" s="55">
        <f t="shared" si="20"/>
        <v>8000</v>
      </c>
      <c r="M117" s="55">
        <f t="shared" si="20"/>
        <v>0</v>
      </c>
      <c r="N117" s="55">
        <f t="shared" si="20"/>
        <v>0</v>
      </c>
      <c r="O117" s="56">
        <f t="shared" si="17"/>
        <v>124000</v>
      </c>
    </row>
    <row r="118" spans="1:15" s="14" customFormat="1" ht="30" customHeight="1">
      <c r="A118" s="63" t="s">
        <v>103</v>
      </c>
      <c r="B118" s="64" t="s">
        <v>269</v>
      </c>
      <c r="C118" s="59"/>
      <c r="D118" s="59"/>
      <c r="E118" s="59"/>
      <c r="F118" s="59">
        <v>75000</v>
      </c>
      <c r="G118" s="59">
        <v>48000</v>
      </c>
      <c r="H118" s="59"/>
      <c r="I118" s="59"/>
      <c r="J118" s="59"/>
      <c r="K118" s="59"/>
      <c r="L118" s="59"/>
      <c r="M118" s="59"/>
      <c r="N118" s="59"/>
      <c r="O118" s="56">
        <f t="shared" si="17"/>
        <v>75000</v>
      </c>
    </row>
    <row r="119" spans="1:15" s="14" customFormat="1" ht="16.5" customHeight="1">
      <c r="A119" s="63" t="s">
        <v>197</v>
      </c>
      <c r="B119" s="64" t="s">
        <v>270</v>
      </c>
      <c r="C119" s="74"/>
      <c r="D119" s="55"/>
      <c r="E119" s="55"/>
      <c r="F119" s="74">
        <v>41000</v>
      </c>
      <c r="G119" s="74">
        <v>26300</v>
      </c>
      <c r="H119" s="55"/>
      <c r="I119" s="55"/>
      <c r="J119" s="55"/>
      <c r="K119" s="55"/>
      <c r="L119" s="74">
        <f>5000+2000+1000</f>
        <v>8000</v>
      </c>
      <c r="M119" s="55"/>
      <c r="N119" s="55"/>
      <c r="O119" s="56">
        <f t="shared" si="17"/>
        <v>49000</v>
      </c>
    </row>
    <row r="120" spans="1:15" s="3" customFormat="1" ht="18" customHeight="1">
      <c r="A120" s="72"/>
      <c r="B120" s="207" t="s">
        <v>504</v>
      </c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</row>
    <row r="121" spans="1:18" s="14" customFormat="1" ht="18" customHeight="1">
      <c r="A121" s="73"/>
      <c r="B121" s="54" t="s">
        <v>41</v>
      </c>
      <c r="C121" s="55">
        <f aca="true" t="shared" si="21" ref="C121:N121">SUM(C122,C135,C140,C141,C142,C143,C144,C145,C146,C147)</f>
        <v>2415000</v>
      </c>
      <c r="D121" s="55">
        <f t="shared" si="21"/>
        <v>1335120</v>
      </c>
      <c r="E121" s="55">
        <f t="shared" si="21"/>
        <v>61700</v>
      </c>
      <c r="F121" s="55">
        <f t="shared" si="21"/>
        <v>154437</v>
      </c>
      <c r="G121" s="55">
        <f t="shared" si="21"/>
        <v>0</v>
      </c>
      <c r="H121" s="55">
        <f t="shared" si="21"/>
        <v>154437</v>
      </c>
      <c r="I121" s="55">
        <f t="shared" si="21"/>
        <v>0</v>
      </c>
      <c r="J121" s="55">
        <f t="shared" si="21"/>
        <v>0</v>
      </c>
      <c r="K121" s="55">
        <f t="shared" si="21"/>
        <v>0</v>
      </c>
      <c r="L121" s="55">
        <f t="shared" si="21"/>
        <v>60710</v>
      </c>
      <c r="M121" s="55">
        <f t="shared" si="21"/>
        <v>0</v>
      </c>
      <c r="N121" s="55">
        <f t="shared" si="21"/>
        <v>2000</v>
      </c>
      <c r="O121" s="56">
        <f>C121+F121+I121+L121</f>
        <v>2630147</v>
      </c>
      <c r="Q121" s="18"/>
      <c r="R121" s="13"/>
    </row>
    <row r="122" spans="1:15" s="14" customFormat="1" ht="17.25" customHeight="1">
      <c r="A122" s="53" t="s">
        <v>80</v>
      </c>
      <c r="B122" s="54" t="s">
        <v>30</v>
      </c>
      <c r="C122" s="55">
        <f aca="true" t="shared" si="22" ref="C122:N122">SUM(C123:C134)</f>
        <v>174400</v>
      </c>
      <c r="D122" s="55">
        <f t="shared" si="22"/>
        <v>0</v>
      </c>
      <c r="E122" s="55">
        <f t="shared" si="22"/>
        <v>0</v>
      </c>
      <c r="F122" s="55">
        <f t="shared" si="22"/>
        <v>154437</v>
      </c>
      <c r="G122" s="55">
        <f t="shared" si="22"/>
        <v>0</v>
      </c>
      <c r="H122" s="55">
        <f t="shared" si="22"/>
        <v>154437</v>
      </c>
      <c r="I122" s="55">
        <f t="shared" si="22"/>
        <v>0</v>
      </c>
      <c r="J122" s="55">
        <f t="shared" si="22"/>
        <v>0</v>
      </c>
      <c r="K122" s="55">
        <f t="shared" si="22"/>
        <v>0</v>
      </c>
      <c r="L122" s="55">
        <f t="shared" si="22"/>
        <v>0</v>
      </c>
      <c r="M122" s="55">
        <f t="shared" si="22"/>
        <v>0</v>
      </c>
      <c r="N122" s="55">
        <f t="shared" si="22"/>
        <v>0</v>
      </c>
      <c r="O122" s="56">
        <f aca="true" t="shared" si="23" ref="O122:O146">C122+F122+I122+L122</f>
        <v>328837</v>
      </c>
    </row>
    <row r="123" spans="1:15" s="18" customFormat="1" ht="30" customHeight="1">
      <c r="A123" s="63" t="s">
        <v>198</v>
      </c>
      <c r="B123" s="64" t="s">
        <v>366</v>
      </c>
      <c r="C123" s="74">
        <v>14400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56">
        <f t="shared" si="23"/>
        <v>14400</v>
      </c>
    </row>
    <row r="124" spans="1:15" s="18" customFormat="1" ht="45.75" customHeight="1">
      <c r="A124" s="63" t="s">
        <v>226</v>
      </c>
      <c r="B124" s="64" t="s">
        <v>505</v>
      </c>
      <c r="C124" s="74"/>
      <c r="D124" s="74"/>
      <c r="E124" s="74"/>
      <c r="F124" s="74">
        <f>147198</f>
        <v>147198</v>
      </c>
      <c r="G124" s="74"/>
      <c r="H124" s="74">
        <f>147198</f>
        <v>147198</v>
      </c>
      <c r="I124" s="74"/>
      <c r="J124" s="74"/>
      <c r="K124" s="74"/>
      <c r="L124" s="74"/>
      <c r="M124" s="74"/>
      <c r="N124" s="74"/>
      <c r="O124" s="56">
        <f t="shared" si="23"/>
        <v>147198</v>
      </c>
    </row>
    <row r="125" spans="1:15" s="18" customFormat="1" ht="29.25" customHeight="1">
      <c r="A125" s="63" t="s">
        <v>239</v>
      </c>
      <c r="B125" s="64" t="s">
        <v>274</v>
      </c>
      <c r="C125" s="74">
        <v>2000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56">
        <f t="shared" si="23"/>
        <v>2000</v>
      </c>
    </row>
    <row r="126" spans="1:15" s="18" customFormat="1" ht="28.5" customHeight="1">
      <c r="A126" s="57" t="s">
        <v>240</v>
      </c>
      <c r="B126" s="64" t="s">
        <v>275</v>
      </c>
      <c r="C126" s="74">
        <v>60000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56">
        <f t="shared" si="23"/>
        <v>60000</v>
      </c>
    </row>
    <row r="127" spans="1:15" s="179" customFormat="1" ht="15.75" customHeight="1">
      <c r="A127" s="68" t="s">
        <v>241</v>
      </c>
      <c r="B127" s="64" t="s">
        <v>164</v>
      </c>
      <c r="C127" s="74">
        <f>9000+8000</f>
        <v>17000</v>
      </c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62">
        <f t="shared" si="23"/>
        <v>17000</v>
      </c>
    </row>
    <row r="128" spans="1:15" s="162" customFormat="1" ht="15.75" customHeight="1">
      <c r="A128" s="122" t="s">
        <v>242</v>
      </c>
      <c r="B128" s="128" t="s">
        <v>225</v>
      </c>
      <c r="C128" s="131">
        <f>15000+4000</f>
        <v>19000</v>
      </c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24">
        <f t="shared" si="23"/>
        <v>19000</v>
      </c>
    </row>
    <row r="129" spans="1:15" s="18" customFormat="1" ht="15.75" customHeight="1">
      <c r="A129" s="63" t="s">
        <v>243</v>
      </c>
      <c r="B129" s="64" t="s">
        <v>202</v>
      </c>
      <c r="C129" s="74">
        <v>4000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56">
        <f t="shared" si="23"/>
        <v>4000</v>
      </c>
    </row>
    <row r="130" spans="1:15" s="14" customFormat="1" ht="42.75" customHeight="1">
      <c r="A130" s="63" t="s">
        <v>244</v>
      </c>
      <c r="B130" s="64" t="s">
        <v>273</v>
      </c>
      <c r="C130" s="59">
        <v>20000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56">
        <f t="shared" si="23"/>
        <v>20000</v>
      </c>
    </row>
    <row r="131" spans="1:15" s="14" customFormat="1" ht="42.75" customHeight="1">
      <c r="A131" s="63" t="s">
        <v>506</v>
      </c>
      <c r="B131" s="64" t="s">
        <v>507</v>
      </c>
      <c r="C131" s="59">
        <f>6000</f>
        <v>6000</v>
      </c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56">
        <f t="shared" si="23"/>
        <v>6000</v>
      </c>
    </row>
    <row r="132" spans="1:15" s="14" customFormat="1" ht="30.75" customHeight="1">
      <c r="A132" s="86" t="s">
        <v>508</v>
      </c>
      <c r="B132" s="64" t="s">
        <v>509</v>
      </c>
      <c r="C132" s="59">
        <v>8000</v>
      </c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56">
        <f t="shared" si="23"/>
        <v>8000</v>
      </c>
    </row>
    <row r="133" spans="1:15" s="18" customFormat="1" ht="44.25" customHeight="1">
      <c r="A133" s="61" t="s">
        <v>510</v>
      </c>
      <c r="B133" s="64" t="s">
        <v>511</v>
      </c>
      <c r="C133" s="74">
        <f>12000+12000</f>
        <v>24000</v>
      </c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56">
        <f t="shared" si="23"/>
        <v>24000</v>
      </c>
    </row>
    <row r="134" spans="1:15" s="162" customFormat="1" ht="30.75" customHeight="1">
      <c r="A134" s="161" t="s">
        <v>564</v>
      </c>
      <c r="B134" s="128" t="s">
        <v>565</v>
      </c>
      <c r="C134" s="131"/>
      <c r="D134" s="131"/>
      <c r="E134" s="131"/>
      <c r="F134" s="131">
        <v>7239</v>
      </c>
      <c r="G134" s="131"/>
      <c r="H134" s="131">
        <f>7239</f>
        <v>7239</v>
      </c>
      <c r="I134" s="131"/>
      <c r="J134" s="131"/>
      <c r="K134" s="131"/>
      <c r="L134" s="131"/>
      <c r="M134" s="131"/>
      <c r="N134" s="131"/>
      <c r="O134" s="124">
        <f t="shared" si="23"/>
        <v>7239</v>
      </c>
    </row>
    <row r="135" spans="1:15" s="16" customFormat="1" ht="27.75" customHeight="1">
      <c r="A135" s="53" t="s">
        <v>116</v>
      </c>
      <c r="B135" s="54" t="s">
        <v>31</v>
      </c>
      <c r="C135" s="56">
        <f>SUM(C136:C139)</f>
        <v>203000</v>
      </c>
      <c r="D135" s="56">
        <f aca="true" t="shared" si="24" ref="D135:N135">SUM(D136:D139)</f>
        <v>0</v>
      </c>
      <c r="E135" s="56">
        <f t="shared" si="24"/>
        <v>60000</v>
      </c>
      <c r="F135" s="56">
        <f t="shared" si="24"/>
        <v>0</v>
      </c>
      <c r="G135" s="56">
        <f t="shared" si="24"/>
        <v>0</v>
      </c>
      <c r="H135" s="56">
        <f t="shared" si="24"/>
        <v>0</v>
      </c>
      <c r="I135" s="56">
        <f t="shared" si="24"/>
        <v>0</v>
      </c>
      <c r="J135" s="56">
        <f t="shared" si="24"/>
        <v>0</v>
      </c>
      <c r="K135" s="56">
        <f t="shared" si="24"/>
        <v>0</v>
      </c>
      <c r="L135" s="56">
        <f t="shared" si="24"/>
        <v>0</v>
      </c>
      <c r="M135" s="56">
        <f t="shared" si="24"/>
        <v>0</v>
      </c>
      <c r="N135" s="56">
        <f t="shared" si="24"/>
        <v>0</v>
      </c>
      <c r="O135" s="56">
        <f t="shared" si="23"/>
        <v>203000</v>
      </c>
    </row>
    <row r="136" spans="1:15" s="14" customFormat="1" ht="30.75" customHeight="1">
      <c r="A136" s="61" t="s">
        <v>245</v>
      </c>
      <c r="B136" s="58" t="s">
        <v>512</v>
      </c>
      <c r="C136" s="59">
        <f>60000+40000</f>
        <v>100000</v>
      </c>
      <c r="D136" s="65"/>
      <c r="E136" s="59">
        <v>60000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56">
        <f t="shared" si="23"/>
        <v>100000</v>
      </c>
    </row>
    <row r="137" spans="1:15" s="18" customFormat="1" ht="15.75" customHeight="1">
      <c r="A137" s="86" t="s">
        <v>246</v>
      </c>
      <c r="B137" s="64" t="s">
        <v>291</v>
      </c>
      <c r="C137" s="59">
        <v>35000</v>
      </c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56">
        <f>C137+F137+I137+L137</f>
        <v>35000</v>
      </c>
    </row>
    <row r="138" spans="1:15" s="18" customFormat="1" ht="44.25" customHeight="1">
      <c r="A138" s="86" t="s">
        <v>276</v>
      </c>
      <c r="B138" s="64" t="s">
        <v>292</v>
      </c>
      <c r="C138" s="59">
        <v>10000</v>
      </c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56">
        <f>C138+F138+I138+L138</f>
        <v>10000</v>
      </c>
    </row>
    <row r="139" spans="1:15" s="18" customFormat="1" ht="15.75" customHeight="1">
      <c r="A139" s="86" t="s">
        <v>290</v>
      </c>
      <c r="B139" s="64" t="s">
        <v>44</v>
      </c>
      <c r="C139" s="59">
        <f>56000+2000</f>
        <v>58000</v>
      </c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56">
        <f t="shared" si="23"/>
        <v>58000</v>
      </c>
    </row>
    <row r="140" spans="1:15" s="11" customFormat="1" ht="17.25" customHeight="1">
      <c r="A140" s="53" t="s">
        <v>117</v>
      </c>
      <c r="B140" s="54" t="s">
        <v>18</v>
      </c>
      <c r="C140" s="56">
        <v>170900</v>
      </c>
      <c r="D140" s="56">
        <v>110200</v>
      </c>
      <c r="E140" s="56"/>
      <c r="F140" s="56"/>
      <c r="G140" s="56"/>
      <c r="H140" s="56"/>
      <c r="I140" s="56"/>
      <c r="J140" s="56"/>
      <c r="K140" s="56"/>
      <c r="L140" s="56">
        <f>7600+5600</f>
        <v>13200</v>
      </c>
      <c r="M140" s="56"/>
      <c r="N140" s="56"/>
      <c r="O140" s="56">
        <f t="shared" si="23"/>
        <v>184100</v>
      </c>
    </row>
    <row r="141" spans="1:15" s="11" customFormat="1" ht="17.25" customHeight="1">
      <c r="A141" s="53" t="s">
        <v>118</v>
      </c>
      <c r="B141" s="81" t="s">
        <v>17</v>
      </c>
      <c r="C141" s="56">
        <f>579300+2500+3500</f>
        <v>585300</v>
      </c>
      <c r="D141" s="56">
        <f>376600+1920</f>
        <v>378520</v>
      </c>
      <c r="E141" s="56">
        <v>1000</v>
      </c>
      <c r="F141" s="56"/>
      <c r="G141" s="56"/>
      <c r="H141" s="56"/>
      <c r="I141" s="56"/>
      <c r="J141" s="56"/>
      <c r="K141" s="56"/>
      <c r="L141" s="56">
        <f>1300+1100+300</f>
        <v>2700</v>
      </c>
      <c r="M141" s="56"/>
      <c r="N141" s="56"/>
      <c r="O141" s="56">
        <f t="shared" si="23"/>
        <v>588000</v>
      </c>
    </row>
    <row r="142" spans="1:15" s="16" customFormat="1" ht="17.25" customHeight="1">
      <c r="A142" s="154" t="s">
        <v>119</v>
      </c>
      <c r="B142" s="155" t="s">
        <v>19</v>
      </c>
      <c r="C142" s="124">
        <f>558100+1000</f>
        <v>559100</v>
      </c>
      <c r="D142" s="56">
        <v>380600</v>
      </c>
      <c r="E142" s="56"/>
      <c r="F142" s="56"/>
      <c r="G142" s="56"/>
      <c r="H142" s="56"/>
      <c r="I142" s="56"/>
      <c r="J142" s="56"/>
      <c r="K142" s="56"/>
      <c r="L142" s="56">
        <f>10700+17500+1000+1000</f>
        <v>30200</v>
      </c>
      <c r="M142" s="56"/>
      <c r="N142" s="56">
        <v>2000</v>
      </c>
      <c r="O142" s="124">
        <f t="shared" si="23"/>
        <v>589300</v>
      </c>
    </row>
    <row r="143" spans="1:15" s="16" customFormat="1" ht="17.25" customHeight="1">
      <c r="A143" s="53" t="s">
        <v>120</v>
      </c>
      <c r="B143" s="54" t="s">
        <v>158</v>
      </c>
      <c r="C143" s="56">
        <v>95800</v>
      </c>
      <c r="D143" s="56">
        <v>61100</v>
      </c>
      <c r="E143" s="56"/>
      <c r="F143" s="56"/>
      <c r="G143" s="56"/>
      <c r="H143" s="56"/>
      <c r="I143" s="56"/>
      <c r="J143" s="56"/>
      <c r="K143" s="56"/>
      <c r="L143" s="56">
        <f>100+200</f>
        <v>300</v>
      </c>
      <c r="M143" s="56"/>
      <c r="N143" s="56"/>
      <c r="O143" s="56">
        <f t="shared" si="23"/>
        <v>96100</v>
      </c>
    </row>
    <row r="144" spans="1:15" s="16" customFormat="1" ht="17.25" customHeight="1">
      <c r="A144" s="53" t="s">
        <v>162</v>
      </c>
      <c r="B144" s="54" t="s">
        <v>159</v>
      </c>
      <c r="C144" s="56">
        <f>83900</f>
        <v>83900</v>
      </c>
      <c r="D144" s="56">
        <v>52500</v>
      </c>
      <c r="E144" s="56">
        <v>700</v>
      </c>
      <c r="F144" s="56"/>
      <c r="G144" s="56"/>
      <c r="H144" s="56"/>
      <c r="I144" s="56"/>
      <c r="J144" s="56"/>
      <c r="K144" s="56"/>
      <c r="L144" s="56">
        <f>80+230+150+400</f>
        <v>860</v>
      </c>
      <c r="M144" s="56"/>
      <c r="N144" s="56"/>
      <c r="O144" s="56">
        <f t="shared" si="23"/>
        <v>84760</v>
      </c>
    </row>
    <row r="145" spans="1:15" s="16" customFormat="1" ht="29.25" customHeight="1">
      <c r="A145" s="53" t="s">
        <v>163</v>
      </c>
      <c r="B145" s="54" t="s">
        <v>161</v>
      </c>
      <c r="C145" s="56">
        <v>90300</v>
      </c>
      <c r="D145" s="56">
        <v>55500</v>
      </c>
      <c r="E145" s="56"/>
      <c r="F145" s="56"/>
      <c r="G145" s="56"/>
      <c r="H145" s="56"/>
      <c r="I145" s="56"/>
      <c r="J145" s="56"/>
      <c r="K145" s="56"/>
      <c r="L145" s="56">
        <f>50+1400+800</f>
        <v>2250</v>
      </c>
      <c r="M145" s="56"/>
      <c r="N145" s="56"/>
      <c r="O145" s="56">
        <f t="shared" si="23"/>
        <v>92550</v>
      </c>
    </row>
    <row r="146" spans="1:15" s="16" customFormat="1" ht="17.25" customHeight="1">
      <c r="A146" s="53" t="s">
        <v>165</v>
      </c>
      <c r="B146" s="54" t="s">
        <v>160</v>
      </c>
      <c r="C146" s="56">
        <v>96400</v>
      </c>
      <c r="D146" s="56">
        <v>64000</v>
      </c>
      <c r="E146" s="56"/>
      <c r="F146" s="56"/>
      <c r="G146" s="56"/>
      <c r="H146" s="56"/>
      <c r="I146" s="56"/>
      <c r="J146" s="56"/>
      <c r="K146" s="56"/>
      <c r="L146" s="56">
        <f>200+2000</f>
        <v>2200</v>
      </c>
      <c r="M146" s="56"/>
      <c r="N146" s="56"/>
      <c r="O146" s="56">
        <f t="shared" si="23"/>
        <v>98600</v>
      </c>
    </row>
    <row r="147" spans="1:15" s="4" customFormat="1" ht="15" customHeight="1">
      <c r="A147" s="53" t="s">
        <v>166</v>
      </c>
      <c r="B147" s="81" t="s">
        <v>53</v>
      </c>
      <c r="C147" s="56">
        <f>SUM(C148:C150)</f>
        <v>355900</v>
      </c>
      <c r="D147" s="56">
        <f aca="true" t="shared" si="25" ref="D147:N147">SUM(D148:D150)</f>
        <v>232700</v>
      </c>
      <c r="E147" s="56">
        <f t="shared" si="25"/>
        <v>0</v>
      </c>
      <c r="F147" s="56">
        <f t="shared" si="25"/>
        <v>0</v>
      </c>
      <c r="G147" s="56">
        <f t="shared" si="25"/>
        <v>0</v>
      </c>
      <c r="H147" s="56">
        <f t="shared" si="25"/>
        <v>0</v>
      </c>
      <c r="I147" s="56">
        <f t="shared" si="25"/>
        <v>0</v>
      </c>
      <c r="J147" s="56"/>
      <c r="K147" s="56">
        <f t="shared" si="25"/>
        <v>0</v>
      </c>
      <c r="L147" s="56">
        <f t="shared" si="25"/>
        <v>9000</v>
      </c>
      <c r="M147" s="56">
        <f t="shared" si="25"/>
        <v>0</v>
      </c>
      <c r="N147" s="56">
        <f t="shared" si="25"/>
        <v>0</v>
      </c>
      <c r="O147" s="56">
        <f>C147+F147+I147+L147</f>
        <v>364900</v>
      </c>
    </row>
    <row r="148" spans="1:15" s="4" customFormat="1" ht="15.75" customHeight="1">
      <c r="A148" s="63" t="s">
        <v>247</v>
      </c>
      <c r="B148" s="58" t="s">
        <v>32</v>
      </c>
      <c r="C148" s="59">
        <v>327900</v>
      </c>
      <c r="D148" s="59">
        <v>232700</v>
      </c>
      <c r="E148" s="59"/>
      <c r="F148" s="56"/>
      <c r="G148" s="59"/>
      <c r="H148" s="59"/>
      <c r="I148" s="56"/>
      <c r="J148" s="56"/>
      <c r="K148" s="59"/>
      <c r="L148" s="59">
        <f>1500+6000+1500</f>
        <v>9000</v>
      </c>
      <c r="M148" s="59"/>
      <c r="N148" s="59"/>
      <c r="O148" s="56">
        <f>C148+F148+I148+L148</f>
        <v>336900</v>
      </c>
    </row>
    <row r="149" spans="1:15" s="4" customFormat="1" ht="15.75" customHeight="1">
      <c r="A149" s="63" t="s">
        <v>248</v>
      </c>
      <c r="B149" s="58" t="s">
        <v>513</v>
      </c>
      <c r="C149" s="85">
        <f>13000</f>
        <v>13000</v>
      </c>
      <c r="D149" s="59"/>
      <c r="E149" s="59"/>
      <c r="F149" s="87"/>
      <c r="G149" s="59"/>
      <c r="H149" s="59"/>
      <c r="I149" s="87"/>
      <c r="J149" s="87"/>
      <c r="K149" s="59"/>
      <c r="L149" s="87"/>
      <c r="M149" s="59"/>
      <c r="N149" s="59"/>
      <c r="O149" s="56">
        <f>C149+F149+I149+L149</f>
        <v>13000</v>
      </c>
    </row>
    <row r="150" spans="1:15" s="4" customFormat="1" ht="16.5" customHeight="1">
      <c r="A150" s="63" t="s">
        <v>249</v>
      </c>
      <c r="B150" s="58" t="s">
        <v>45</v>
      </c>
      <c r="C150" s="85">
        <v>15000</v>
      </c>
      <c r="D150" s="59"/>
      <c r="E150" s="59"/>
      <c r="F150" s="87"/>
      <c r="G150" s="59"/>
      <c r="H150" s="59"/>
      <c r="I150" s="87"/>
      <c r="J150" s="87"/>
      <c r="K150" s="59"/>
      <c r="L150" s="87"/>
      <c r="M150" s="59"/>
      <c r="N150" s="59"/>
      <c r="O150" s="56">
        <f>C150+F150+I150+L150</f>
        <v>15000</v>
      </c>
    </row>
    <row r="151" spans="1:15" s="3" customFormat="1" ht="17.25" customHeight="1">
      <c r="A151" s="72"/>
      <c r="B151" s="198" t="s">
        <v>362</v>
      </c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200"/>
    </row>
    <row r="152" spans="1:18" s="14" customFormat="1" ht="20.25" customHeight="1">
      <c r="A152" s="73"/>
      <c r="B152" s="54" t="s">
        <v>41</v>
      </c>
      <c r="C152" s="55">
        <f aca="true" t="shared" si="26" ref="C152:N152">SUM(C153:C155,C158:C161,C164:C165,C168,C171,C174,C177:C178,C184,C181,C187:C189,C190,C201)</f>
        <v>5210255</v>
      </c>
      <c r="D152" s="55">
        <f t="shared" si="26"/>
        <v>2729069</v>
      </c>
      <c r="E152" s="55">
        <f t="shared" si="26"/>
        <v>51000</v>
      </c>
      <c r="F152" s="55">
        <f t="shared" si="26"/>
        <v>532088</v>
      </c>
      <c r="G152" s="55">
        <f t="shared" si="26"/>
        <v>28326</v>
      </c>
      <c r="H152" s="55">
        <f t="shared" si="26"/>
        <v>373116</v>
      </c>
      <c r="I152" s="55">
        <f t="shared" si="26"/>
        <v>5829900</v>
      </c>
      <c r="J152" s="55">
        <f t="shared" si="26"/>
        <v>4343385</v>
      </c>
      <c r="K152" s="55">
        <f t="shared" si="26"/>
        <v>28892</v>
      </c>
      <c r="L152" s="55">
        <f t="shared" si="26"/>
        <v>282882</v>
      </c>
      <c r="M152" s="55">
        <f t="shared" si="26"/>
        <v>18463</v>
      </c>
      <c r="N152" s="55">
        <f t="shared" si="26"/>
        <v>1500</v>
      </c>
      <c r="O152" s="56">
        <f>C152+F152+I152+L152</f>
        <v>11855125</v>
      </c>
      <c r="Q152" s="18"/>
      <c r="R152" s="13"/>
    </row>
    <row r="153" spans="1:15" s="17" customFormat="1" ht="19.5" customHeight="1">
      <c r="A153" s="88" t="s">
        <v>167</v>
      </c>
      <c r="B153" s="180" t="s">
        <v>14</v>
      </c>
      <c r="C153" s="87">
        <f>345100+2700</f>
        <v>347800</v>
      </c>
      <c r="D153" s="87">
        <v>154500</v>
      </c>
      <c r="E153" s="87"/>
      <c r="F153" s="87">
        <v>9671</v>
      </c>
      <c r="G153" s="87">
        <v>7412</v>
      </c>
      <c r="H153" s="87"/>
      <c r="I153" s="87">
        <f>826675+45843</f>
        <v>872518</v>
      </c>
      <c r="J153" s="87">
        <f>591258+35136</f>
        <v>626394</v>
      </c>
      <c r="K153" s="87">
        <v>15300</v>
      </c>
      <c r="L153" s="87">
        <f>4950+743-1500</f>
        <v>4193</v>
      </c>
      <c r="M153" s="87"/>
      <c r="N153" s="87"/>
      <c r="O153" s="56">
        <f aca="true" t="shared" si="27" ref="O153:O205">C153+F153+I153+L153</f>
        <v>1234182</v>
      </c>
    </row>
    <row r="154" spans="1:15" s="17" customFormat="1" ht="20.25" customHeight="1">
      <c r="A154" s="88" t="s">
        <v>168</v>
      </c>
      <c r="B154" s="81" t="s">
        <v>107</v>
      </c>
      <c r="C154" s="87">
        <f>277738-1100+3500</f>
        <v>280138</v>
      </c>
      <c r="D154" s="87">
        <f>141303</f>
        <v>141303</v>
      </c>
      <c r="E154" s="55"/>
      <c r="F154" s="87"/>
      <c r="G154" s="87"/>
      <c r="H154" s="87"/>
      <c r="I154" s="87">
        <f>482718+13538</f>
        <v>496256</v>
      </c>
      <c r="J154" s="87">
        <f>363121+10375</f>
        <v>373496</v>
      </c>
      <c r="K154" s="87"/>
      <c r="L154" s="87"/>
      <c r="M154" s="87"/>
      <c r="N154" s="87"/>
      <c r="O154" s="56">
        <f t="shared" si="27"/>
        <v>776394</v>
      </c>
    </row>
    <row r="155" spans="1:15" s="17" customFormat="1" ht="29.25" customHeight="1">
      <c r="A155" s="134" t="s">
        <v>169</v>
      </c>
      <c r="B155" s="130" t="s">
        <v>369</v>
      </c>
      <c r="C155" s="133">
        <f>C156+C157</f>
        <v>323987</v>
      </c>
      <c r="D155" s="87">
        <f aca="true" t="shared" si="28" ref="D155:L155">D156+D157</f>
        <v>163824</v>
      </c>
      <c r="E155" s="87">
        <f t="shared" si="28"/>
        <v>0</v>
      </c>
      <c r="F155" s="87">
        <f t="shared" si="28"/>
        <v>0</v>
      </c>
      <c r="G155" s="87">
        <f t="shared" si="28"/>
        <v>0</v>
      </c>
      <c r="H155" s="87">
        <f t="shared" si="28"/>
        <v>0</v>
      </c>
      <c r="I155" s="87">
        <f t="shared" si="28"/>
        <v>421278</v>
      </c>
      <c r="J155" s="87">
        <f>J156+J157</f>
        <v>310741</v>
      </c>
      <c r="K155" s="87">
        <f t="shared" si="28"/>
        <v>7546</v>
      </c>
      <c r="L155" s="87">
        <f t="shared" si="28"/>
        <v>8300</v>
      </c>
      <c r="M155" s="87">
        <f>M156+M157</f>
        <v>0</v>
      </c>
      <c r="N155" s="87">
        <f>N156+N157</f>
        <v>0</v>
      </c>
      <c r="O155" s="124">
        <f t="shared" si="27"/>
        <v>753565</v>
      </c>
    </row>
    <row r="156" spans="1:15" s="17" customFormat="1" ht="15" customHeight="1">
      <c r="A156" s="80" t="s">
        <v>250</v>
      </c>
      <c r="B156" s="58" t="s">
        <v>35</v>
      </c>
      <c r="C156" s="85">
        <v>68200</v>
      </c>
      <c r="D156" s="85">
        <v>46400</v>
      </c>
      <c r="E156" s="85"/>
      <c r="F156" s="85"/>
      <c r="G156" s="85"/>
      <c r="H156" s="85"/>
      <c r="I156" s="85">
        <f>27808-7546</f>
        <v>20262</v>
      </c>
      <c r="J156" s="85">
        <f>20818-7546</f>
        <v>13272</v>
      </c>
      <c r="K156" s="85"/>
      <c r="L156" s="85">
        <v>8300</v>
      </c>
      <c r="M156" s="85"/>
      <c r="N156" s="85"/>
      <c r="O156" s="56">
        <f t="shared" si="27"/>
        <v>96762</v>
      </c>
    </row>
    <row r="157" spans="1:15" s="17" customFormat="1" ht="15" customHeight="1">
      <c r="A157" s="136" t="s">
        <v>251</v>
      </c>
      <c r="B157" s="123" t="s">
        <v>34</v>
      </c>
      <c r="C157" s="132">
        <f>259787-4000</f>
        <v>255787</v>
      </c>
      <c r="D157" s="85">
        <f>117424</f>
        <v>117424</v>
      </c>
      <c r="E157" s="85"/>
      <c r="F157" s="85"/>
      <c r="G157" s="85"/>
      <c r="H157" s="85"/>
      <c r="I157" s="85">
        <f>364594+28876+7546</f>
        <v>401016</v>
      </c>
      <c r="J157" s="85">
        <f>275338+22131</f>
        <v>297469</v>
      </c>
      <c r="K157" s="85">
        <v>7546</v>
      </c>
      <c r="L157" s="85"/>
      <c r="M157" s="85"/>
      <c r="N157" s="85"/>
      <c r="O157" s="124">
        <f t="shared" si="27"/>
        <v>656803</v>
      </c>
    </row>
    <row r="158" spans="1:15" s="17" customFormat="1" ht="18.75" customHeight="1">
      <c r="A158" s="88" t="s">
        <v>170</v>
      </c>
      <c r="B158" s="81" t="s">
        <v>550</v>
      </c>
      <c r="C158" s="87">
        <f>318600+2165+1460-2500</f>
        <v>319725</v>
      </c>
      <c r="D158" s="87">
        <f>161400+1660+1120</f>
        <v>164180</v>
      </c>
      <c r="E158" s="87">
        <v>10000</v>
      </c>
      <c r="F158" s="87">
        <v>7499</v>
      </c>
      <c r="G158" s="87">
        <v>5747</v>
      </c>
      <c r="H158" s="87"/>
      <c r="I158" s="87">
        <f>663130+49516</f>
        <v>712646</v>
      </c>
      <c r="J158" s="87">
        <f>497909+37950</f>
        <v>535859</v>
      </c>
      <c r="K158" s="87">
        <v>1246</v>
      </c>
      <c r="L158" s="87">
        <f>2950+420</f>
        <v>3370</v>
      </c>
      <c r="M158" s="87"/>
      <c r="N158" s="87"/>
      <c r="O158" s="56">
        <f>C158+F158+I158+L158</f>
        <v>1043240</v>
      </c>
    </row>
    <row r="159" spans="1:15" s="17" customFormat="1" ht="18.75" customHeight="1">
      <c r="A159" s="88" t="s">
        <v>171</v>
      </c>
      <c r="B159" s="81" t="s">
        <v>551</v>
      </c>
      <c r="C159" s="87">
        <f>299100-4000</f>
        <v>295100</v>
      </c>
      <c r="D159" s="87">
        <v>162500</v>
      </c>
      <c r="E159" s="87"/>
      <c r="F159" s="87">
        <v>6891</v>
      </c>
      <c r="G159" s="87">
        <v>5281</v>
      </c>
      <c r="H159" s="87"/>
      <c r="I159" s="87">
        <f>559629+37408</f>
        <v>597037</v>
      </c>
      <c r="J159" s="87">
        <f>420470+28670</f>
        <v>449140</v>
      </c>
      <c r="K159" s="87"/>
      <c r="L159" s="87">
        <f>2000+200</f>
        <v>2200</v>
      </c>
      <c r="M159" s="87"/>
      <c r="N159" s="87"/>
      <c r="O159" s="56">
        <f>C159+F159+I159+L159</f>
        <v>901228</v>
      </c>
    </row>
    <row r="160" spans="1:15" s="17" customFormat="1" ht="18" customHeight="1">
      <c r="A160" s="88" t="s">
        <v>172</v>
      </c>
      <c r="B160" s="81" t="s">
        <v>20</v>
      </c>
      <c r="C160" s="87">
        <v>105800</v>
      </c>
      <c r="D160" s="87">
        <v>58900</v>
      </c>
      <c r="E160" s="87"/>
      <c r="F160" s="87"/>
      <c r="G160" s="87"/>
      <c r="H160" s="87"/>
      <c r="I160" s="87">
        <f>150432+7358</f>
        <v>157790</v>
      </c>
      <c r="J160" s="87">
        <f>113261+5640+136</f>
        <v>119037</v>
      </c>
      <c r="K160" s="87"/>
      <c r="L160" s="87"/>
      <c r="M160" s="87"/>
      <c r="N160" s="87"/>
      <c r="O160" s="56">
        <f t="shared" si="27"/>
        <v>263590</v>
      </c>
    </row>
    <row r="161" spans="1:15" s="17" customFormat="1" ht="30.75" customHeight="1">
      <c r="A161" s="134" t="s">
        <v>173</v>
      </c>
      <c r="B161" s="130" t="s">
        <v>36</v>
      </c>
      <c r="C161" s="133">
        <f>C162+C163</f>
        <v>207050</v>
      </c>
      <c r="D161" s="87">
        <f aca="true" t="shared" si="29" ref="D161:N161">D162+D163</f>
        <v>121134</v>
      </c>
      <c r="E161" s="87">
        <f t="shared" si="29"/>
        <v>1000</v>
      </c>
      <c r="F161" s="87">
        <f t="shared" si="29"/>
        <v>0</v>
      </c>
      <c r="G161" s="87">
        <f t="shared" si="29"/>
        <v>0</v>
      </c>
      <c r="H161" s="87">
        <f t="shared" si="29"/>
        <v>0</v>
      </c>
      <c r="I161" s="87">
        <f t="shared" si="29"/>
        <v>246596</v>
      </c>
      <c r="J161" s="87">
        <f>J162+J163</f>
        <v>186204</v>
      </c>
      <c r="K161" s="87">
        <f t="shared" si="29"/>
        <v>300</v>
      </c>
      <c r="L161" s="87">
        <f t="shared" si="29"/>
        <v>2550</v>
      </c>
      <c r="M161" s="87">
        <f t="shared" si="29"/>
        <v>0</v>
      </c>
      <c r="N161" s="87">
        <f t="shared" si="29"/>
        <v>0</v>
      </c>
      <c r="O161" s="124">
        <f t="shared" si="27"/>
        <v>456196</v>
      </c>
    </row>
    <row r="162" spans="1:15" s="17" customFormat="1" ht="15" customHeight="1">
      <c r="A162" s="89" t="s">
        <v>304</v>
      </c>
      <c r="B162" s="58" t="s">
        <v>35</v>
      </c>
      <c r="C162" s="85">
        <v>39600</v>
      </c>
      <c r="D162" s="85">
        <v>29300</v>
      </c>
      <c r="E162" s="85"/>
      <c r="F162" s="85"/>
      <c r="G162" s="85"/>
      <c r="H162" s="85"/>
      <c r="I162" s="85">
        <v>33917</v>
      </c>
      <c r="J162" s="85">
        <v>25475</v>
      </c>
      <c r="K162" s="85"/>
      <c r="L162" s="85">
        <v>1950</v>
      </c>
      <c r="M162" s="85"/>
      <c r="N162" s="85"/>
      <c r="O162" s="56">
        <f t="shared" si="27"/>
        <v>75467</v>
      </c>
    </row>
    <row r="163" spans="1:15" s="17" customFormat="1" ht="15" customHeight="1">
      <c r="A163" s="136" t="s">
        <v>305</v>
      </c>
      <c r="B163" s="123" t="s">
        <v>34</v>
      </c>
      <c r="C163" s="132">
        <f>164450+3000</f>
        <v>167450</v>
      </c>
      <c r="D163" s="85">
        <f>90800+1034</f>
        <v>91834</v>
      </c>
      <c r="E163" s="85">
        <v>1000</v>
      </c>
      <c r="F163" s="85"/>
      <c r="G163" s="85"/>
      <c r="H163" s="85"/>
      <c r="I163" s="85">
        <f>199284+13395</f>
        <v>212679</v>
      </c>
      <c r="J163" s="85">
        <f>150462+10267</f>
        <v>160729</v>
      </c>
      <c r="K163" s="85">
        <v>300</v>
      </c>
      <c r="L163" s="85">
        <f>400+200</f>
        <v>600</v>
      </c>
      <c r="M163" s="85"/>
      <c r="N163" s="85"/>
      <c r="O163" s="124">
        <f t="shared" si="27"/>
        <v>380729</v>
      </c>
    </row>
    <row r="164" spans="1:15" s="17" customFormat="1" ht="18" customHeight="1">
      <c r="A164" s="88" t="s">
        <v>174</v>
      </c>
      <c r="B164" s="81" t="s">
        <v>21</v>
      </c>
      <c r="C164" s="87">
        <f>128613</f>
        <v>128613</v>
      </c>
      <c r="D164" s="87">
        <f>91876</f>
        <v>91876</v>
      </c>
      <c r="E164" s="87"/>
      <c r="F164" s="87"/>
      <c r="G164" s="87"/>
      <c r="H164" s="87"/>
      <c r="I164" s="87">
        <f>154182</f>
        <v>154182</v>
      </c>
      <c r="J164" s="87">
        <f>117240</f>
        <v>117240</v>
      </c>
      <c r="K164" s="87"/>
      <c r="L164" s="87">
        <f>217+10922</f>
        <v>11139</v>
      </c>
      <c r="M164" s="87">
        <v>563</v>
      </c>
      <c r="N164" s="87"/>
      <c r="O164" s="56">
        <f t="shared" si="27"/>
        <v>293934</v>
      </c>
    </row>
    <row r="165" spans="1:15" s="17" customFormat="1" ht="29.25" customHeight="1">
      <c r="A165" s="134" t="s">
        <v>175</v>
      </c>
      <c r="B165" s="130" t="s">
        <v>277</v>
      </c>
      <c r="C165" s="133">
        <f>C166+C167</f>
        <v>198900</v>
      </c>
      <c r="D165" s="87">
        <f>D166+D167</f>
        <v>120700</v>
      </c>
      <c r="E165" s="87">
        <f aca="true" t="shared" si="30" ref="E165:N165">E166+E167</f>
        <v>0</v>
      </c>
      <c r="F165" s="87">
        <f t="shared" si="30"/>
        <v>0</v>
      </c>
      <c r="G165" s="87">
        <f t="shared" si="30"/>
        <v>0</v>
      </c>
      <c r="H165" s="87">
        <f t="shared" si="30"/>
        <v>0</v>
      </c>
      <c r="I165" s="87">
        <f t="shared" si="30"/>
        <v>246364</v>
      </c>
      <c r="J165" s="87">
        <f>J166+J167</f>
        <v>186111</v>
      </c>
      <c r="K165" s="87">
        <f t="shared" si="30"/>
        <v>0</v>
      </c>
      <c r="L165" s="87">
        <f t="shared" si="30"/>
        <v>5461</v>
      </c>
      <c r="M165" s="87">
        <f t="shared" si="30"/>
        <v>0</v>
      </c>
      <c r="N165" s="87">
        <f t="shared" si="30"/>
        <v>0</v>
      </c>
      <c r="O165" s="124">
        <f>C165+F165+I165+L165</f>
        <v>450725</v>
      </c>
    </row>
    <row r="166" spans="1:15" s="17" customFormat="1" ht="15" customHeight="1">
      <c r="A166" s="90" t="s">
        <v>252</v>
      </c>
      <c r="B166" s="58" t="s">
        <v>35</v>
      </c>
      <c r="C166" s="85">
        <v>31500</v>
      </c>
      <c r="D166" s="85">
        <v>22900</v>
      </c>
      <c r="E166" s="85"/>
      <c r="F166" s="85"/>
      <c r="G166" s="85"/>
      <c r="H166" s="85"/>
      <c r="I166" s="85">
        <v>11018</v>
      </c>
      <c r="J166" s="85">
        <v>8100</v>
      </c>
      <c r="K166" s="85"/>
      <c r="L166" s="85">
        <v>5361</v>
      </c>
      <c r="M166" s="85"/>
      <c r="N166" s="85"/>
      <c r="O166" s="56">
        <f>C166+F166+I166+L166</f>
        <v>47879</v>
      </c>
    </row>
    <row r="167" spans="1:15" s="17" customFormat="1" ht="15" customHeight="1">
      <c r="A167" s="136" t="s">
        <v>253</v>
      </c>
      <c r="B167" s="123" t="s">
        <v>34</v>
      </c>
      <c r="C167" s="132">
        <f>165400+2000</f>
        <v>167400</v>
      </c>
      <c r="D167" s="85">
        <v>97800</v>
      </c>
      <c r="E167" s="85"/>
      <c r="F167" s="85"/>
      <c r="G167" s="85"/>
      <c r="H167" s="85"/>
      <c r="I167" s="85">
        <f>211953+23393</f>
        <v>235346</v>
      </c>
      <c r="J167" s="85">
        <f>160083+17928</f>
        <v>178011</v>
      </c>
      <c r="K167" s="85"/>
      <c r="L167" s="85">
        <v>100</v>
      </c>
      <c r="M167" s="85"/>
      <c r="N167" s="85"/>
      <c r="O167" s="124">
        <f>C167+F167+I167+L167</f>
        <v>402846</v>
      </c>
    </row>
    <row r="168" spans="1:15" s="17" customFormat="1" ht="30.75" customHeight="1">
      <c r="A168" s="134" t="s">
        <v>176</v>
      </c>
      <c r="B168" s="130" t="s">
        <v>37</v>
      </c>
      <c r="C168" s="133">
        <f>C169+C170</f>
        <v>199980</v>
      </c>
      <c r="D168" s="87">
        <f>D169+D170</f>
        <v>113075</v>
      </c>
      <c r="E168" s="87">
        <f aca="true" t="shared" si="31" ref="E168:N168">E169+E170</f>
        <v>0</v>
      </c>
      <c r="F168" s="87">
        <f t="shared" si="31"/>
        <v>1610</v>
      </c>
      <c r="G168" s="87">
        <f t="shared" si="31"/>
        <v>1234</v>
      </c>
      <c r="H168" s="87">
        <f t="shared" si="31"/>
        <v>0</v>
      </c>
      <c r="I168" s="87">
        <f t="shared" si="31"/>
        <v>289712</v>
      </c>
      <c r="J168" s="87">
        <f>J169+J170</f>
        <v>218355</v>
      </c>
      <c r="K168" s="87">
        <f t="shared" si="31"/>
        <v>0</v>
      </c>
      <c r="L168" s="87">
        <f t="shared" si="31"/>
        <v>2704</v>
      </c>
      <c r="M168" s="87">
        <f t="shared" si="31"/>
        <v>0</v>
      </c>
      <c r="N168" s="87">
        <f t="shared" si="31"/>
        <v>0</v>
      </c>
      <c r="O168" s="124">
        <f t="shared" si="27"/>
        <v>494006</v>
      </c>
    </row>
    <row r="169" spans="1:15" s="17" customFormat="1" ht="15" customHeight="1">
      <c r="A169" s="90" t="s">
        <v>298</v>
      </c>
      <c r="B169" s="58" t="s">
        <v>35</v>
      </c>
      <c r="C169" s="85">
        <f>35400+5660</f>
        <v>41060</v>
      </c>
      <c r="D169" s="85">
        <f>24900+4340</f>
        <v>29240</v>
      </c>
      <c r="E169" s="85"/>
      <c r="F169" s="85"/>
      <c r="G169" s="85"/>
      <c r="H169" s="85"/>
      <c r="I169" s="85">
        <f>32353+1592</f>
        <v>33945</v>
      </c>
      <c r="J169" s="85">
        <f>24295+1220</f>
        <v>25515</v>
      </c>
      <c r="K169" s="85"/>
      <c r="L169" s="85">
        <f>2034+670</f>
        <v>2704</v>
      </c>
      <c r="M169" s="85"/>
      <c r="N169" s="85"/>
      <c r="O169" s="56">
        <f t="shared" si="27"/>
        <v>77709</v>
      </c>
    </row>
    <row r="170" spans="1:15" s="17" customFormat="1" ht="15" customHeight="1">
      <c r="A170" s="136" t="s">
        <v>299</v>
      </c>
      <c r="B170" s="123" t="s">
        <v>34</v>
      </c>
      <c r="C170" s="132">
        <f>156920+2000</f>
        <v>158920</v>
      </c>
      <c r="D170" s="85">
        <f>82900+935</f>
        <v>83835</v>
      </c>
      <c r="E170" s="85"/>
      <c r="F170" s="85">
        <v>1610</v>
      </c>
      <c r="G170" s="85">
        <v>1234</v>
      </c>
      <c r="H170" s="85"/>
      <c r="I170" s="85">
        <f>248178+7589</f>
        <v>255767</v>
      </c>
      <c r="J170" s="85">
        <f>187023+5817</f>
        <v>192840</v>
      </c>
      <c r="K170" s="85"/>
      <c r="L170" s="85"/>
      <c r="M170" s="85"/>
      <c r="N170" s="85"/>
      <c r="O170" s="124">
        <f t="shared" si="27"/>
        <v>416297</v>
      </c>
    </row>
    <row r="171" spans="1:15" s="17" customFormat="1" ht="31.5" customHeight="1">
      <c r="A171" s="88" t="s">
        <v>177</v>
      </c>
      <c r="B171" s="81" t="s">
        <v>38</v>
      </c>
      <c r="C171" s="87">
        <f>C172+C173</f>
        <v>216500</v>
      </c>
      <c r="D171" s="87">
        <f aca="true" t="shared" si="32" ref="D171:L171">D172+D173</f>
        <v>136100</v>
      </c>
      <c r="E171" s="87">
        <f t="shared" si="32"/>
        <v>0</v>
      </c>
      <c r="F171" s="87">
        <f t="shared" si="32"/>
        <v>0</v>
      </c>
      <c r="G171" s="87">
        <f t="shared" si="32"/>
        <v>0</v>
      </c>
      <c r="H171" s="87">
        <f t="shared" si="32"/>
        <v>0</v>
      </c>
      <c r="I171" s="87">
        <f t="shared" si="32"/>
        <v>275345</v>
      </c>
      <c r="J171" s="87">
        <f>J172+J173</f>
        <v>207879</v>
      </c>
      <c r="K171" s="87">
        <f t="shared" si="32"/>
        <v>0</v>
      </c>
      <c r="L171" s="87">
        <f t="shared" si="32"/>
        <v>3500</v>
      </c>
      <c r="M171" s="87">
        <f>M172+M173</f>
        <v>0</v>
      </c>
      <c r="N171" s="87">
        <f>N172+N173</f>
        <v>0</v>
      </c>
      <c r="O171" s="56">
        <f t="shared" si="27"/>
        <v>495345</v>
      </c>
    </row>
    <row r="172" spans="1:15" s="17" customFormat="1" ht="15" customHeight="1">
      <c r="A172" s="90" t="s">
        <v>104</v>
      </c>
      <c r="B172" s="58" t="s">
        <v>35</v>
      </c>
      <c r="C172" s="85">
        <v>71300</v>
      </c>
      <c r="D172" s="85">
        <v>52500</v>
      </c>
      <c r="E172" s="85"/>
      <c r="F172" s="85"/>
      <c r="G172" s="85"/>
      <c r="H172" s="85"/>
      <c r="I172" s="85">
        <v>17076</v>
      </c>
      <c r="J172" s="85">
        <v>13000</v>
      </c>
      <c r="K172" s="85"/>
      <c r="L172" s="85">
        <v>3500</v>
      </c>
      <c r="M172" s="85"/>
      <c r="N172" s="85"/>
      <c r="O172" s="56">
        <f t="shared" si="27"/>
        <v>91876</v>
      </c>
    </row>
    <row r="173" spans="1:15" s="17" customFormat="1" ht="15" customHeight="1">
      <c r="A173" s="80" t="s">
        <v>105</v>
      </c>
      <c r="B173" s="58" t="s">
        <v>34</v>
      </c>
      <c r="C173" s="85">
        <v>145200</v>
      </c>
      <c r="D173" s="85">
        <v>83600</v>
      </c>
      <c r="E173" s="85"/>
      <c r="F173" s="85"/>
      <c r="G173" s="85"/>
      <c r="H173" s="85"/>
      <c r="I173" s="85">
        <f>245890+12379</f>
        <v>258269</v>
      </c>
      <c r="J173" s="85">
        <f>185391+9488</f>
        <v>194879</v>
      </c>
      <c r="K173" s="85"/>
      <c r="L173" s="85"/>
      <c r="M173" s="85"/>
      <c r="N173" s="85"/>
      <c r="O173" s="56">
        <f t="shared" si="27"/>
        <v>403469</v>
      </c>
    </row>
    <row r="174" spans="1:15" s="17" customFormat="1" ht="30" customHeight="1">
      <c r="A174" s="134" t="s">
        <v>178</v>
      </c>
      <c r="B174" s="130" t="s">
        <v>52</v>
      </c>
      <c r="C174" s="133">
        <f>C175+C176</f>
        <v>204600</v>
      </c>
      <c r="D174" s="87">
        <f aca="true" t="shared" si="33" ref="D174:L174">D175+D176</f>
        <v>112800</v>
      </c>
      <c r="E174" s="87">
        <f t="shared" si="33"/>
        <v>0</v>
      </c>
      <c r="F174" s="87">
        <f t="shared" si="33"/>
        <v>0</v>
      </c>
      <c r="G174" s="87">
        <f t="shared" si="33"/>
        <v>0</v>
      </c>
      <c r="H174" s="87">
        <f t="shared" si="33"/>
        <v>0</v>
      </c>
      <c r="I174" s="87">
        <f t="shared" si="33"/>
        <v>269958</v>
      </c>
      <c r="J174" s="87">
        <f>J175+J176</f>
        <v>203635</v>
      </c>
      <c r="K174" s="87">
        <f t="shared" si="33"/>
        <v>0</v>
      </c>
      <c r="L174" s="87">
        <f t="shared" si="33"/>
        <v>5600</v>
      </c>
      <c r="M174" s="87">
        <f>M175+M176</f>
        <v>0</v>
      </c>
      <c r="N174" s="87">
        <f>N175+N176</f>
        <v>0</v>
      </c>
      <c r="O174" s="124">
        <f t="shared" si="27"/>
        <v>480158</v>
      </c>
    </row>
    <row r="175" spans="1:15" s="17" customFormat="1" ht="15" customHeight="1">
      <c r="A175" s="80" t="s">
        <v>109</v>
      </c>
      <c r="B175" s="58" t="s">
        <v>35</v>
      </c>
      <c r="C175" s="85">
        <v>67300</v>
      </c>
      <c r="D175" s="85">
        <v>39200</v>
      </c>
      <c r="E175" s="85"/>
      <c r="F175" s="85"/>
      <c r="G175" s="85"/>
      <c r="H175" s="85"/>
      <c r="I175" s="85">
        <v>30885</v>
      </c>
      <c r="J175" s="85">
        <v>23218</v>
      </c>
      <c r="K175" s="85"/>
      <c r="L175" s="85">
        <v>5600</v>
      </c>
      <c r="M175" s="85"/>
      <c r="N175" s="85"/>
      <c r="O175" s="56">
        <f t="shared" si="27"/>
        <v>103785</v>
      </c>
    </row>
    <row r="176" spans="1:15" s="17" customFormat="1" ht="15" customHeight="1">
      <c r="A176" s="136" t="s">
        <v>110</v>
      </c>
      <c r="B176" s="123" t="s">
        <v>34</v>
      </c>
      <c r="C176" s="132">
        <f>136300+1000</f>
        <v>137300</v>
      </c>
      <c r="D176" s="85">
        <v>73600</v>
      </c>
      <c r="E176" s="85"/>
      <c r="F176" s="85"/>
      <c r="G176" s="85"/>
      <c r="H176" s="85"/>
      <c r="I176" s="85">
        <f>228413+10660</f>
        <v>239073</v>
      </c>
      <c r="J176" s="85">
        <f>172247+8170</f>
        <v>180417</v>
      </c>
      <c r="K176" s="85"/>
      <c r="L176" s="85"/>
      <c r="M176" s="85"/>
      <c r="N176" s="85"/>
      <c r="O176" s="124">
        <f t="shared" si="27"/>
        <v>376373</v>
      </c>
    </row>
    <row r="177" spans="1:15" s="17" customFormat="1" ht="21" customHeight="1">
      <c r="A177" s="88" t="s">
        <v>179</v>
      </c>
      <c r="B177" s="81" t="s">
        <v>22</v>
      </c>
      <c r="C177" s="87">
        <f>66462</f>
        <v>66462</v>
      </c>
      <c r="D177" s="87">
        <f>41297</f>
        <v>41297</v>
      </c>
      <c r="E177" s="87"/>
      <c r="F177" s="87"/>
      <c r="G177" s="87"/>
      <c r="H177" s="87"/>
      <c r="I177" s="87">
        <f>97131</f>
        <v>97131</v>
      </c>
      <c r="J177" s="87">
        <f>73412</f>
        <v>73412</v>
      </c>
      <c r="K177" s="87"/>
      <c r="L177" s="87"/>
      <c r="M177" s="87"/>
      <c r="N177" s="87"/>
      <c r="O177" s="56">
        <f t="shared" si="27"/>
        <v>163593</v>
      </c>
    </row>
    <row r="178" spans="1:15" s="17" customFormat="1" ht="21" customHeight="1">
      <c r="A178" s="88" t="s">
        <v>180</v>
      </c>
      <c r="B178" s="164" t="s">
        <v>39</v>
      </c>
      <c r="C178" s="87">
        <f>C179+C180</f>
        <v>225900</v>
      </c>
      <c r="D178" s="87">
        <f aca="true" t="shared" si="34" ref="D178:N178">D179+D180</f>
        <v>139400</v>
      </c>
      <c r="E178" s="87">
        <f t="shared" si="34"/>
        <v>0</v>
      </c>
      <c r="F178" s="87">
        <f t="shared" si="34"/>
        <v>0</v>
      </c>
      <c r="G178" s="87">
        <f t="shared" si="34"/>
        <v>0</v>
      </c>
      <c r="H178" s="87">
        <f t="shared" si="34"/>
        <v>0</v>
      </c>
      <c r="I178" s="87">
        <f t="shared" si="34"/>
        <v>289697</v>
      </c>
      <c r="J178" s="87">
        <f>J179+J180</f>
        <v>216943</v>
      </c>
      <c r="K178" s="87">
        <f t="shared" si="34"/>
        <v>0</v>
      </c>
      <c r="L178" s="87">
        <f t="shared" si="34"/>
        <v>11685</v>
      </c>
      <c r="M178" s="87">
        <f t="shared" si="34"/>
        <v>0</v>
      </c>
      <c r="N178" s="87">
        <f t="shared" si="34"/>
        <v>900</v>
      </c>
      <c r="O178" s="56">
        <f t="shared" si="27"/>
        <v>527282</v>
      </c>
    </row>
    <row r="179" spans="1:15" s="17" customFormat="1" ht="15" customHeight="1">
      <c r="A179" s="80" t="s">
        <v>254</v>
      </c>
      <c r="B179" s="58" t="s">
        <v>35</v>
      </c>
      <c r="C179" s="85">
        <v>86000</v>
      </c>
      <c r="D179" s="85">
        <v>55200</v>
      </c>
      <c r="E179" s="85"/>
      <c r="F179" s="85"/>
      <c r="G179" s="85"/>
      <c r="H179" s="85"/>
      <c r="I179" s="85">
        <v>27759</v>
      </c>
      <c r="J179" s="85">
        <v>20324</v>
      </c>
      <c r="K179" s="85"/>
      <c r="L179" s="85">
        <f>10785+900</f>
        <v>11685</v>
      </c>
      <c r="M179" s="85"/>
      <c r="N179" s="85">
        <v>900</v>
      </c>
      <c r="O179" s="56">
        <f t="shared" si="27"/>
        <v>125444</v>
      </c>
    </row>
    <row r="180" spans="1:15" s="17" customFormat="1" ht="15" customHeight="1">
      <c r="A180" s="80" t="s">
        <v>255</v>
      </c>
      <c r="B180" s="58" t="s">
        <v>34</v>
      </c>
      <c r="C180" s="85">
        <v>139900</v>
      </c>
      <c r="D180" s="85">
        <v>84200</v>
      </c>
      <c r="E180" s="85"/>
      <c r="F180" s="85"/>
      <c r="G180" s="85"/>
      <c r="H180" s="85"/>
      <c r="I180" s="85">
        <f>250650+11288</f>
        <v>261938</v>
      </c>
      <c r="J180" s="85">
        <f>187967+8652</f>
        <v>196619</v>
      </c>
      <c r="K180" s="85"/>
      <c r="L180" s="85"/>
      <c r="M180" s="85"/>
      <c r="N180" s="85"/>
      <c r="O180" s="56">
        <f t="shared" si="27"/>
        <v>401838</v>
      </c>
    </row>
    <row r="181" spans="1:15" s="17" customFormat="1" ht="17.25" customHeight="1">
      <c r="A181" s="88" t="s">
        <v>181</v>
      </c>
      <c r="B181" s="81" t="s">
        <v>203</v>
      </c>
      <c r="C181" s="87">
        <f>C182+C183</f>
        <v>388900</v>
      </c>
      <c r="D181" s="87">
        <f aca="true" t="shared" si="35" ref="D181:N181">D182+D183</f>
        <v>269400</v>
      </c>
      <c r="E181" s="87">
        <f t="shared" si="35"/>
        <v>0</v>
      </c>
      <c r="F181" s="87">
        <f t="shared" si="35"/>
        <v>22061</v>
      </c>
      <c r="G181" s="87">
        <f t="shared" si="35"/>
        <v>4952</v>
      </c>
      <c r="H181" s="87">
        <f t="shared" si="35"/>
        <v>0</v>
      </c>
      <c r="I181" s="87">
        <f t="shared" si="35"/>
        <v>240394</v>
      </c>
      <c r="J181" s="87">
        <f>J182+J183</f>
        <v>180583</v>
      </c>
      <c r="K181" s="87">
        <f t="shared" si="35"/>
        <v>0</v>
      </c>
      <c r="L181" s="87">
        <f t="shared" si="35"/>
        <v>59510</v>
      </c>
      <c r="M181" s="87">
        <f t="shared" si="35"/>
        <v>0</v>
      </c>
      <c r="N181" s="87">
        <f t="shared" si="35"/>
        <v>0</v>
      </c>
      <c r="O181" s="56">
        <f>C181+F181+I181+L181</f>
        <v>710865</v>
      </c>
    </row>
    <row r="182" spans="1:15" s="17" customFormat="1" ht="15" customHeight="1">
      <c r="A182" s="80" t="s">
        <v>204</v>
      </c>
      <c r="B182" s="58" t="s">
        <v>35</v>
      </c>
      <c r="C182" s="85">
        <f>387250-15600</f>
        <v>371650</v>
      </c>
      <c r="D182" s="85">
        <v>256180</v>
      </c>
      <c r="E182" s="85"/>
      <c r="F182" s="85">
        <f>15600+6461</f>
        <v>22061</v>
      </c>
      <c r="G182" s="85">
        <v>4952</v>
      </c>
      <c r="H182" s="85"/>
      <c r="I182" s="85">
        <f>147233+7680</f>
        <v>154913</v>
      </c>
      <c r="J182" s="85">
        <f>109497+5886</f>
        <v>115383</v>
      </c>
      <c r="K182" s="85"/>
      <c r="L182" s="85">
        <f>200+730+58580</f>
        <v>59510</v>
      </c>
      <c r="M182" s="85"/>
      <c r="N182" s="85"/>
      <c r="O182" s="56">
        <f>C182+F182+I182+L182</f>
        <v>608134</v>
      </c>
    </row>
    <row r="183" spans="1:15" s="17" customFormat="1" ht="15" customHeight="1">
      <c r="A183" s="80" t="s">
        <v>205</v>
      </c>
      <c r="B183" s="58" t="s">
        <v>34</v>
      </c>
      <c r="C183" s="85">
        <v>17250</v>
      </c>
      <c r="D183" s="85">
        <v>13220</v>
      </c>
      <c r="E183" s="85"/>
      <c r="F183" s="85"/>
      <c r="G183" s="85"/>
      <c r="H183" s="85"/>
      <c r="I183" s="85">
        <v>85481</v>
      </c>
      <c r="J183" s="85">
        <v>65200</v>
      </c>
      <c r="K183" s="85"/>
      <c r="L183" s="85"/>
      <c r="M183" s="85"/>
      <c r="N183" s="85"/>
      <c r="O183" s="56">
        <f>C183+F183+I183+L183</f>
        <v>102731</v>
      </c>
    </row>
    <row r="184" spans="1:15" s="17" customFormat="1" ht="20.25" customHeight="1">
      <c r="A184" s="88" t="s">
        <v>182</v>
      </c>
      <c r="B184" s="180" t="s">
        <v>40</v>
      </c>
      <c r="C184" s="87">
        <f>C185+C186</f>
        <v>278900</v>
      </c>
      <c r="D184" s="87">
        <f aca="true" t="shared" si="36" ref="D184:K184">D185+D186</f>
        <v>187600</v>
      </c>
      <c r="E184" s="87">
        <f t="shared" si="36"/>
        <v>0</v>
      </c>
      <c r="F184" s="87">
        <f t="shared" si="36"/>
        <v>0</v>
      </c>
      <c r="G184" s="87">
        <f t="shared" si="36"/>
        <v>0</v>
      </c>
      <c r="H184" s="87">
        <f t="shared" si="36"/>
        <v>0</v>
      </c>
      <c r="I184" s="87">
        <f t="shared" si="36"/>
        <v>188087</v>
      </c>
      <c r="J184" s="87">
        <f>J185+J186</f>
        <v>141293</v>
      </c>
      <c r="K184" s="87">
        <f t="shared" si="36"/>
        <v>0</v>
      </c>
      <c r="L184" s="87">
        <f>L185+L186</f>
        <v>35241</v>
      </c>
      <c r="M184" s="87">
        <f>M185+M186</f>
        <v>0</v>
      </c>
      <c r="N184" s="87">
        <f>N185+N186</f>
        <v>600</v>
      </c>
      <c r="O184" s="56">
        <f t="shared" si="27"/>
        <v>502228</v>
      </c>
    </row>
    <row r="185" spans="1:15" s="17" customFormat="1" ht="15" customHeight="1">
      <c r="A185" s="80" t="s">
        <v>213</v>
      </c>
      <c r="B185" s="58" t="s">
        <v>35</v>
      </c>
      <c r="C185" s="85">
        <v>241800</v>
      </c>
      <c r="D185" s="85">
        <v>164300</v>
      </c>
      <c r="E185" s="85"/>
      <c r="F185" s="85"/>
      <c r="G185" s="85"/>
      <c r="H185" s="85"/>
      <c r="I185" s="85">
        <f>113303</f>
        <v>113303</v>
      </c>
      <c r="J185" s="85">
        <f>84800</f>
        <v>84800</v>
      </c>
      <c r="K185" s="85"/>
      <c r="L185" s="85">
        <f>33630-2000</f>
        <v>31630</v>
      </c>
      <c r="M185" s="85"/>
      <c r="N185" s="85">
        <v>600</v>
      </c>
      <c r="O185" s="56">
        <f t="shared" si="27"/>
        <v>386733</v>
      </c>
    </row>
    <row r="186" spans="1:15" s="17" customFormat="1" ht="15" customHeight="1">
      <c r="A186" s="80" t="s">
        <v>214</v>
      </c>
      <c r="B186" s="58" t="s">
        <v>34</v>
      </c>
      <c r="C186" s="85">
        <v>37100</v>
      </c>
      <c r="D186" s="85">
        <v>23300</v>
      </c>
      <c r="E186" s="85"/>
      <c r="F186" s="85"/>
      <c r="G186" s="85"/>
      <c r="H186" s="85"/>
      <c r="I186" s="85">
        <f>74675+109</f>
        <v>74784</v>
      </c>
      <c r="J186" s="85">
        <f>56410+83</f>
        <v>56493</v>
      </c>
      <c r="K186" s="85"/>
      <c r="L186" s="85">
        <f>66+3545</f>
        <v>3611</v>
      </c>
      <c r="M186" s="85"/>
      <c r="N186" s="85"/>
      <c r="O186" s="56">
        <f t="shared" si="27"/>
        <v>115495</v>
      </c>
    </row>
    <row r="187" spans="1:15" s="17" customFormat="1" ht="20.25" customHeight="1">
      <c r="A187" s="134" t="s">
        <v>183</v>
      </c>
      <c r="B187" s="137" t="s">
        <v>24</v>
      </c>
      <c r="C187" s="133">
        <f>382800-5000</f>
        <v>377800</v>
      </c>
      <c r="D187" s="87">
        <v>258900</v>
      </c>
      <c r="E187" s="87"/>
      <c r="F187" s="87"/>
      <c r="G187" s="87"/>
      <c r="H187" s="87"/>
      <c r="I187" s="87">
        <v>214090</v>
      </c>
      <c r="J187" s="87">
        <f>158820+300</f>
        <v>159120</v>
      </c>
      <c r="K187" s="87"/>
      <c r="L187" s="87">
        <f>290+65629</f>
        <v>65919</v>
      </c>
      <c r="M187" s="87"/>
      <c r="N187" s="87"/>
      <c r="O187" s="124">
        <f t="shared" si="27"/>
        <v>657809</v>
      </c>
    </row>
    <row r="188" spans="1:15" s="17" customFormat="1" ht="19.5" customHeight="1">
      <c r="A188" s="88" t="s">
        <v>184</v>
      </c>
      <c r="B188" s="81" t="s">
        <v>55</v>
      </c>
      <c r="C188" s="87">
        <f>334500-4800</f>
        <v>329700</v>
      </c>
      <c r="D188" s="87">
        <f>247350-3700</f>
        <v>243650</v>
      </c>
      <c r="E188" s="87"/>
      <c r="F188" s="87">
        <v>4800</v>
      </c>
      <c r="G188" s="87">
        <v>3700</v>
      </c>
      <c r="H188" s="87"/>
      <c r="I188" s="87">
        <f>3972+6161</f>
        <v>10133</v>
      </c>
      <c r="J188" s="87">
        <f>18</f>
        <v>18</v>
      </c>
      <c r="K188" s="87">
        <f>4500</f>
        <v>4500</v>
      </c>
      <c r="L188" s="87">
        <f>860+35630</f>
        <v>36490</v>
      </c>
      <c r="M188" s="87">
        <f>17900</f>
        <v>17900</v>
      </c>
      <c r="N188" s="87"/>
      <c r="O188" s="56">
        <f t="shared" si="27"/>
        <v>381123</v>
      </c>
    </row>
    <row r="189" spans="1:15" s="17" customFormat="1" ht="30.75" customHeight="1">
      <c r="A189" s="88" t="s">
        <v>185</v>
      </c>
      <c r="B189" s="81" t="s">
        <v>566</v>
      </c>
      <c r="C189" s="87">
        <f>82300</f>
        <v>82300</v>
      </c>
      <c r="D189" s="87">
        <f>47930</f>
        <v>47930</v>
      </c>
      <c r="E189" s="87"/>
      <c r="F189" s="87"/>
      <c r="G189" s="87"/>
      <c r="H189" s="87"/>
      <c r="I189" s="87">
        <f>49400+1286</f>
        <v>50686</v>
      </c>
      <c r="J189" s="87">
        <f>37867+58</f>
        <v>37925</v>
      </c>
      <c r="K189" s="87"/>
      <c r="L189" s="87">
        <f>2000+31520-8500</f>
        <v>25020</v>
      </c>
      <c r="M189" s="87"/>
      <c r="N189" s="87"/>
      <c r="O189" s="56">
        <f t="shared" si="27"/>
        <v>158006</v>
      </c>
    </row>
    <row r="190" spans="1:15" s="20" customFormat="1" ht="18" customHeight="1">
      <c r="A190" s="88" t="s">
        <v>186</v>
      </c>
      <c r="B190" s="54" t="s">
        <v>54</v>
      </c>
      <c r="C190" s="87">
        <f>SUM(C191:C200)</f>
        <v>402100</v>
      </c>
      <c r="D190" s="87">
        <f aca="true" t="shared" si="37" ref="D190:N190">SUM(D191:D200)</f>
        <v>0</v>
      </c>
      <c r="E190" s="87">
        <f t="shared" si="37"/>
        <v>0</v>
      </c>
      <c r="F190" s="87">
        <f t="shared" si="37"/>
        <v>479556</v>
      </c>
      <c r="G190" s="87">
        <f t="shared" si="37"/>
        <v>0</v>
      </c>
      <c r="H190" s="87">
        <f>SUM(H191:H200)</f>
        <v>373116</v>
      </c>
      <c r="I190" s="87">
        <f t="shared" si="37"/>
        <v>0</v>
      </c>
      <c r="J190" s="87">
        <f t="shared" si="37"/>
        <v>0</v>
      </c>
      <c r="K190" s="87">
        <f t="shared" si="37"/>
        <v>0</v>
      </c>
      <c r="L190" s="87">
        <f t="shared" si="37"/>
        <v>0</v>
      </c>
      <c r="M190" s="87">
        <f t="shared" si="37"/>
        <v>0</v>
      </c>
      <c r="N190" s="87">
        <f t="shared" si="37"/>
        <v>0</v>
      </c>
      <c r="O190" s="56">
        <f>C190+F190+I190+L190</f>
        <v>881656</v>
      </c>
    </row>
    <row r="191" spans="1:15" s="17" customFormat="1" ht="15" customHeight="1">
      <c r="A191" s="80" t="s">
        <v>306</v>
      </c>
      <c r="B191" s="58" t="s">
        <v>46</v>
      </c>
      <c r="C191" s="85">
        <f>370000+10000</f>
        <v>380000</v>
      </c>
      <c r="D191" s="85"/>
      <c r="E191" s="85"/>
      <c r="F191" s="87"/>
      <c r="G191" s="85"/>
      <c r="H191" s="85"/>
      <c r="I191" s="87"/>
      <c r="J191" s="87"/>
      <c r="K191" s="85"/>
      <c r="L191" s="87"/>
      <c r="M191" s="85"/>
      <c r="N191" s="85"/>
      <c r="O191" s="56">
        <f t="shared" si="27"/>
        <v>380000</v>
      </c>
    </row>
    <row r="192" spans="1:15" s="17" customFormat="1" ht="28.5" customHeight="1">
      <c r="A192" s="80" t="s">
        <v>307</v>
      </c>
      <c r="B192" s="58" t="s">
        <v>288</v>
      </c>
      <c r="C192" s="85">
        <v>14000</v>
      </c>
      <c r="D192" s="85"/>
      <c r="E192" s="85"/>
      <c r="F192" s="87"/>
      <c r="G192" s="85"/>
      <c r="H192" s="85"/>
      <c r="I192" s="87"/>
      <c r="J192" s="87"/>
      <c r="K192" s="85"/>
      <c r="L192" s="87"/>
      <c r="M192" s="85"/>
      <c r="N192" s="85"/>
      <c r="O192" s="56">
        <f t="shared" si="27"/>
        <v>14000</v>
      </c>
    </row>
    <row r="193" spans="1:15" s="21" customFormat="1" ht="27.75" customHeight="1">
      <c r="A193" s="80" t="s">
        <v>308</v>
      </c>
      <c r="B193" s="58" t="s">
        <v>199</v>
      </c>
      <c r="C193" s="85">
        <v>8100</v>
      </c>
      <c r="D193" s="85"/>
      <c r="E193" s="91"/>
      <c r="F193" s="92"/>
      <c r="G193" s="91"/>
      <c r="H193" s="91"/>
      <c r="I193" s="92"/>
      <c r="J193" s="92"/>
      <c r="K193" s="91"/>
      <c r="L193" s="92"/>
      <c r="M193" s="91"/>
      <c r="N193" s="91"/>
      <c r="O193" s="56">
        <f t="shared" si="27"/>
        <v>8100</v>
      </c>
    </row>
    <row r="194" spans="1:15" s="21" customFormat="1" ht="15" customHeight="1">
      <c r="A194" s="80" t="s">
        <v>309</v>
      </c>
      <c r="B194" s="58" t="s">
        <v>318</v>
      </c>
      <c r="C194" s="85"/>
      <c r="D194" s="85"/>
      <c r="E194" s="91"/>
      <c r="F194" s="85">
        <f>96172+2319</f>
        <v>98491</v>
      </c>
      <c r="G194" s="91"/>
      <c r="H194" s="91"/>
      <c r="I194" s="92"/>
      <c r="J194" s="92"/>
      <c r="K194" s="91"/>
      <c r="L194" s="92"/>
      <c r="M194" s="91"/>
      <c r="N194" s="91"/>
      <c r="O194" s="56">
        <f t="shared" si="27"/>
        <v>98491</v>
      </c>
    </row>
    <row r="195" spans="1:15" s="17" customFormat="1" ht="15.75" customHeight="1">
      <c r="A195" s="80" t="s">
        <v>317</v>
      </c>
      <c r="B195" s="58" t="s">
        <v>552</v>
      </c>
      <c r="C195" s="85"/>
      <c r="D195" s="85"/>
      <c r="E195" s="85"/>
      <c r="F195" s="87"/>
      <c r="G195" s="85"/>
      <c r="H195" s="85"/>
      <c r="I195" s="85">
        <f>163671-163671</f>
        <v>0</v>
      </c>
      <c r="J195" s="85">
        <f>124914-124914</f>
        <v>0</v>
      </c>
      <c r="K195" s="85"/>
      <c r="L195" s="87"/>
      <c r="M195" s="85"/>
      <c r="N195" s="85"/>
      <c r="O195" s="56">
        <f t="shared" si="27"/>
        <v>0</v>
      </c>
    </row>
    <row r="196" spans="1:15" s="17" customFormat="1" ht="29.25" customHeight="1">
      <c r="A196" s="80" t="s">
        <v>514</v>
      </c>
      <c r="B196" s="58" t="s">
        <v>515</v>
      </c>
      <c r="C196" s="85"/>
      <c r="D196" s="85"/>
      <c r="E196" s="85"/>
      <c r="F196" s="85">
        <v>232000</v>
      </c>
      <c r="G196" s="85"/>
      <c r="H196" s="85">
        <v>232000</v>
      </c>
      <c r="I196" s="87"/>
      <c r="J196" s="85"/>
      <c r="K196" s="85"/>
      <c r="L196" s="87"/>
      <c r="M196" s="85"/>
      <c r="N196" s="85"/>
      <c r="O196" s="56">
        <f t="shared" si="27"/>
        <v>232000</v>
      </c>
    </row>
    <row r="197" spans="1:15" s="17" customFormat="1" ht="18" customHeight="1">
      <c r="A197" s="80" t="s">
        <v>535</v>
      </c>
      <c r="B197" s="58" t="s">
        <v>536</v>
      </c>
      <c r="C197" s="85"/>
      <c r="D197" s="85"/>
      <c r="E197" s="85"/>
      <c r="F197" s="85">
        <f>40081-32132</f>
        <v>7949</v>
      </c>
      <c r="G197" s="85"/>
      <c r="H197" s="85"/>
      <c r="I197" s="87"/>
      <c r="J197" s="85"/>
      <c r="K197" s="85"/>
      <c r="L197" s="87"/>
      <c r="M197" s="85"/>
      <c r="N197" s="85"/>
      <c r="O197" s="56">
        <f t="shared" si="27"/>
        <v>7949</v>
      </c>
    </row>
    <row r="198" spans="1:15" s="17" customFormat="1" ht="29.25" customHeight="1">
      <c r="A198" s="80" t="s">
        <v>537</v>
      </c>
      <c r="B198" s="58" t="s">
        <v>538</v>
      </c>
      <c r="C198" s="85"/>
      <c r="D198" s="85"/>
      <c r="E198" s="85"/>
      <c r="F198" s="85">
        <v>10900</v>
      </c>
      <c r="G198" s="85"/>
      <c r="H198" s="85">
        <v>10900</v>
      </c>
      <c r="I198" s="87"/>
      <c r="J198" s="85"/>
      <c r="K198" s="85"/>
      <c r="L198" s="87"/>
      <c r="M198" s="85"/>
      <c r="N198" s="85"/>
      <c r="O198" s="56">
        <f t="shared" si="27"/>
        <v>10900</v>
      </c>
    </row>
    <row r="199" spans="1:15" s="135" customFormat="1" ht="43.5" customHeight="1">
      <c r="A199" s="136" t="s">
        <v>539</v>
      </c>
      <c r="B199" s="123" t="s">
        <v>540</v>
      </c>
      <c r="C199" s="132"/>
      <c r="D199" s="132"/>
      <c r="E199" s="132"/>
      <c r="F199" s="132">
        <f>9108+17086</f>
        <v>26194</v>
      </c>
      <c r="G199" s="132"/>
      <c r="H199" s="132">
        <f>9108+17086</f>
        <v>26194</v>
      </c>
      <c r="I199" s="133"/>
      <c r="J199" s="132"/>
      <c r="K199" s="132"/>
      <c r="L199" s="133"/>
      <c r="M199" s="132"/>
      <c r="N199" s="132"/>
      <c r="O199" s="124">
        <f t="shared" si="27"/>
        <v>26194</v>
      </c>
    </row>
    <row r="200" spans="1:15" s="135" customFormat="1" ht="43.5" customHeight="1">
      <c r="A200" s="136" t="s">
        <v>567</v>
      </c>
      <c r="B200" s="123" t="s">
        <v>568</v>
      </c>
      <c r="C200" s="132"/>
      <c r="D200" s="132"/>
      <c r="E200" s="132"/>
      <c r="F200" s="132">
        <v>104022</v>
      </c>
      <c r="G200" s="132"/>
      <c r="H200" s="132">
        <v>104022</v>
      </c>
      <c r="I200" s="133"/>
      <c r="J200" s="132"/>
      <c r="K200" s="132"/>
      <c r="L200" s="133"/>
      <c r="M200" s="132"/>
      <c r="N200" s="132"/>
      <c r="O200" s="124">
        <f t="shared" si="27"/>
        <v>104022</v>
      </c>
    </row>
    <row r="201" spans="1:15" s="16" customFormat="1" ht="29.25" customHeight="1">
      <c r="A201" s="53" t="s">
        <v>187</v>
      </c>
      <c r="B201" s="54" t="s">
        <v>31</v>
      </c>
      <c r="C201" s="56">
        <f>C202</f>
        <v>230000</v>
      </c>
      <c r="D201" s="56">
        <f aca="true" t="shared" si="38" ref="D201:N201">D202</f>
        <v>0</v>
      </c>
      <c r="E201" s="56">
        <f>E202</f>
        <v>40000</v>
      </c>
      <c r="F201" s="56">
        <f t="shared" si="38"/>
        <v>0</v>
      </c>
      <c r="G201" s="56">
        <f t="shared" si="38"/>
        <v>0</v>
      </c>
      <c r="H201" s="56">
        <f t="shared" si="38"/>
        <v>0</v>
      </c>
      <c r="I201" s="56"/>
      <c r="J201" s="56"/>
      <c r="K201" s="56">
        <f t="shared" si="38"/>
        <v>0</v>
      </c>
      <c r="L201" s="56">
        <f t="shared" si="38"/>
        <v>0</v>
      </c>
      <c r="M201" s="56">
        <f t="shared" si="38"/>
        <v>0</v>
      </c>
      <c r="N201" s="56">
        <f t="shared" si="38"/>
        <v>0</v>
      </c>
      <c r="O201" s="56">
        <f t="shared" si="27"/>
        <v>230000</v>
      </c>
    </row>
    <row r="202" spans="1:15" s="17" customFormat="1" ht="15" customHeight="1">
      <c r="A202" s="90" t="s">
        <v>310</v>
      </c>
      <c r="B202" s="58" t="s">
        <v>50</v>
      </c>
      <c r="C202" s="85">
        <f>SUM(C203:C208)</f>
        <v>230000</v>
      </c>
      <c r="D202" s="85">
        <f aca="true" t="shared" si="39" ref="D202:N202">SUM(D203:D208)</f>
        <v>0</v>
      </c>
      <c r="E202" s="85">
        <f t="shared" si="39"/>
        <v>40000</v>
      </c>
      <c r="F202" s="85">
        <f t="shared" si="39"/>
        <v>0</v>
      </c>
      <c r="G202" s="85">
        <f t="shared" si="39"/>
        <v>0</v>
      </c>
      <c r="H202" s="85">
        <f t="shared" si="39"/>
        <v>0</v>
      </c>
      <c r="I202" s="85">
        <f t="shared" si="39"/>
        <v>0</v>
      </c>
      <c r="J202" s="85">
        <f t="shared" si="39"/>
        <v>0</v>
      </c>
      <c r="K202" s="85">
        <f t="shared" si="39"/>
        <v>0</v>
      </c>
      <c r="L202" s="85">
        <f t="shared" si="39"/>
        <v>0</v>
      </c>
      <c r="M202" s="85">
        <f t="shared" si="39"/>
        <v>0</v>
      </c>
      <c r="N202" s="85">
        <f t="shared" si="39"/>
        <v>0</v>
      </c>
      <c r="O202" s="56">
        <f t="shared" si="27"/>
        <v>230000</v>
      </c>
    </row>
    <row r="203" spans="1:15" s="17" customFormat="1" ht="30" customHeight="1">
      <c r="A203" s="80" t="s">
        <v>311</v>
      </c>
      <c r="B203" s="58" t="s">
        <v>278</v>
      </c>
      <c r="C203" s="85">
        <v>130000</v>
      </c>
      <c r="D203" s="85"/>
      <c r="E203" s="85"/>
      <c r="F203" s="87"/>
      <c r="G203" s="85"/>
      <c r="H203" s="85"/>
      <c r="I203" s="87"/>
      <c r="J203" s="87"/>
      <c r="K203" s="85"/>
      <c r="L203" s="87"/>
      <c r="M203" s="85"/>
      <c r="N203" s="85"/>
      <c r="O203" s="56">
        <f t="shared" si="27"/>
        <v>130000</v>
      </c>
    </row>
    <row r="204" spans="1:15" s="17" customFormat="1" ht="30" customHeight="1">
      <c r="A204" s="80" t="s">
        <v>312</v>
      </c>
      <c r="B204" s="58" t="s">
        <v>355</v>
      </c>
      <c r="C204" s="85">
        <v>20000</v>
      </c>
      <c r="D204" s="85"/>
      <c r="E204" s="85"/>
      <c r="F204" s="87"/>
      <c r="G204" s="85"/>
      <c r="H204" s="85"/>
      <c r="I204" s="87"/>
      <c r="J204" s="87"/>
      <c r="K204" s="85"/>
      <c r="L204" s="87"/>
      <c r="M204" s="85"/>
      <c r="N204" s="85"/>
      <c r="O204" s="56">
        <f t="shared" si="27"/>
        <v>20000</v>
      </c>
    </row>
    <row r="205" spans="1:15" s="17" customFormat="1" ht="28.5" customHeight="1">
      <c r="A205" s="80" t="s">
        <v>313</v>
      </c>
      <c r="B205" s="58" t="s">
        <v>228</v>
      </c>
      <c r="C205" s="85">
        <v>5000</v>
      </c>
      <c r="D205" s="85"/>
      <c r="E205" s="85"/>
      <c r="F205" s="87"/>
      <c r="G205" s="85"/>
      <c r="H205" s="85"/>
      <c r="I205" s="87"/>
      <c r="J205" s="87"/>
      <c r="K205" s="85"/>
      <c r="L205" s="87"/>
      <c r="M205" s="85"/>
      <c r="N205" s="85"/>
      <c r="O205" s="56">
        <f t="shared" si="27"/>
        <v>5000</v>
      </c>
    </row>
    <row r="206" spans="1:15" s="17" customFormat="1" ht="15" customHeight="1">
      <c r="A206" s="80" t="s">
        <v>314</v>
      </c>
      <c r="B206" s="58" t="s">
        <v>227</v>
      </c>
      <c r="C206" s="85">
        <v>5000</v>
      </c>
      <c r="D206" s="85"/>
      <c r="E206" s="85"/>
      <c r="F206" s="87"/>
      <c r="G206" s="85"/>
      <c r="H206" s="85"/>
      <c r="I206" s="87"/>
      <c r="J206" s="87"/>
      <c r="K206" s="85"/>
      <c r="L206" s="87"/>
      <c r="M206" s="85"/>
      <c r="N206" s="85"/>
      <c r="O206" s="56">
        <f>C206+F206+I206+L206</f>
        <v>5000</v>
      </c>
    </row>
    <row r="207" spans="1:15" s="17" customFormat="1" ht="15" customHeight="1">
      <c r="A207" s="80" t="s">
        <v>315</v>
      </c>
      <c r="B207" s="58" t="s">
        <v>319</v>
      </c>
      <c r="C207" s="85">
        <v>30000</v>
      </c>
      <c r="D207" s="85"/>
      <c r="E207" s="85"/>
      <c r="F207" s="87"/>
      <c r="G207" s="85"/>
      <c r="H207" s="85"/>
      <c r="I207" s="87"/>
      <c r="J207" s="87"/>
      <c r="K207" s="85"/>
      <c r="L207" s="87"/>
      <c r="M207" s="85"/>
      <c r="N207" s="85"/>
      <c r="O207" s="56">
        <f>C207+F207+I207+L207</f>
        <v>30000</v>
      </c>
    </row>
    <row r="208" spans="1:15" s="17" customFormat="1" ht="15" customHeight="1">
      <c r="A208" s="80" t="s">
        <v>316</v>
      </c>
      <c r="B208" s="58" t="s">
        <v>215</v>
      </c>
      <c r="C208" s="85">
        <v>40000</v>
      </c>
      <c r="D208" s="85"/>
      <c r="E208" s="85">
        <v>40000</v>
      </c>
      <c r="F208" s="87"/>
      <c r="G208" s="85"/>
      <c r="H208" s="85"/>
      <c r="I208" s="87"/>
      <c r="J208" s="87"/>
      <c r="K208" s="85"/>
      <c r="L208" s="87"/>
      <c r="M208" s="85"/>
      <c r="N208" s="85"/>
      <c r="O208" s="56">
        <f>C208+F208+I208+L208</f>
        <v>40000</v>
      </c>
    </row>
    <row r="209" spans="1:15" s="3" customFormat="1" ht="15" customHeight="1">
      <c r="A209" s="72"/>
      <c r="B209" s="207" t="s">
        <v>361</v>
      </c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</row>
    <row r="210" spans="1:18" s="14" customFormat="1" ht="15" customHeight="1">
      <c r="A210" s="73"/>
      <c r="B210" s="54" t="s">
        <v>41</v>
      </c>
      <c r="C210" s="55">
        <f aca="true" t="shared" si="40" ref="C210:O210">C211+C248+C247</f>
        <v>3000100</v>
      </c>
      <c r="D210" s="55">
        <f t="shared" si="40"/>
        <v>475400</v>
      </c>
      <c r="E210" s="55">
        <f t="shared" si="40"/>
        <v>87935</v>
      </c>
      <c r="F210" s="55">
        <f t="shared" si="40"/>
        <v>1243662</v>
      </c>
      <c r="G210" s="55">
        <f t="shared" si="40"/>
        <v>99300</v>
      </c>
      <c r="H210" s="55">
        <f t="shared" si="40"/>
        <v>207674</v>
      </c>
      <c r="I210" s="55">
        <f t="shared" si="40"/>
        <v>0</v>
      </c>
      <c r="J210" s="55">
        <f t="shared" si="40"/>
        <v>0</v>
      </c>
      <c r="K210" s="55">
        <f t="shared" si="40"/>
        <v>0</v>
      </c>
      <c r="L210" s="55">
        <f t="shared" si="40"/>
        <v>128051</v>
      </c>
      <c r="M210" s="55">
        <f t="shared" si="40"/>
        <v>36374</v>
      </c>
      <c r="N210" s="55">
        <f t="shared" si="40"/>
        <v>0</v>
      </c>
      <c r="O210" s="55">
        <f t="shared" si="40"/>
        <v>4371813</v>
      </c>
      <c r="Q210" s="18"/>
      <c r="R210" s="13"/>
    </row>
    <row r="211" spans="1:15" s="4" customFormat="1" ht="15" customHeight="1">
      <c r="A211" s="53" t="s">
        <v>188</v>
      </c>
      <c r="B211" s="54" t="s">
        <v>54</v>
      </c>
      <c r="C211" s="56">
        <f>SUM(C212:C246)</f>
        <v>2836300</v>
      </c>
      <c r="D211" s="56">
        <f aca="true" t="shared" si="41" ref="D211:N211">SUM(D212:D246)</f>
        <v>365200</v>
      </c>
      <c r="E211" s="56">
        <f t="shared" si="41"/>
        <v>87935</v>
      </c>
      <c r="F211" s="56">
        <f t="shared" si="41"/>
        <v>1058762</v>
      </c>
      <c r="G211" s="56">
        <f t="shared" si="41"/>
        <v>99300</v>
      </c>
      <c r="H211" s="56">
        <f t="shared" si="41"/>
        <v>207674</v>
      </c>
      <c r="I211" s="56">
        <f t="shared" si="41"/>
        <v>0</v>
      </c>
      <c r="J211" s="56">
        <f t="shared" si="41"/>
        <v>0</v>
      </c>
      <c r="K211" s="56">
        <f t="shared" si="41"/>
        <v>0</v>
      </c>
      <c r="L211" s="56">
        <f t="shared" si="41"/>
        <v>0</v>
      </c>
      <c r="M211" s="56">
        <f t="shared" si="41"/>
        <v>0</v>
      </c>
      <c r="N211" s="56">
        <f t="shared" si="41"/>
        <v>0</v>
      </c>
      <c r="O211" s="56">
        <f>C211+F211+I211+L211</f>
        <v>3895062</v>
      </c>
    </row>
    <row r="212" spans="1:15" s="17" customFormat="1" ht="14.25" customHeight="1">
      <c r="A212" s="93" t="s">
        <v>206</v>
      </c>
      <c r="B212" s="58" t="s">
        <v>16</v>
      </c>
      <c r="C212" s="74">
        <f>1192000-10000+4000-8100</f>
        <v>1177900</v>
      </c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56">
        <f aca="true" t="shared" si="42" ref="O212:O249">C212+F212+I212+L212</f>
        <v>1177900</v>
      </c>
    </row>
    <row r="213" spans="1:15" s="17" customFormat="1" ht="15.75" customHeight="1">
      <c r="A213" s="93" t="s">
        <v>207</v>
      </c>
      <c r="B213" s="58" t="s">
        <v>233</v>
      </c>
      <c r="C213" s="74">
        <f>29000</f>
        <v>29000</v>
      </c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56">
        <f>C213+F213+I213+L213</f>
        <v>29000</v>
      </c>
    </row>
    <row r="214" spans="1:15" s="17" customFormat="1" ht="27.75" customHeight="1">
      <c r="A214" s="93" t="s">
        <v>208</v>
      </c>
      <c r="B214" s="58" t="s">
        <v>47</v>
      </c>
      <c r="C214" s="74">
        <f>293500</f>
        <v>293500</v>
      </c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56">
        <f>C214+F214+I214+L214</f>
        <v>293500</v>
      </c>
    </row>
    <row r="215" spans="1:15" s="17" customFormat="1" ht="14.25" customHeight="1">
      <c r="A215" s="93" t="s">
        <v>237</v>
      </c>
      <c r="B215" s="58" t="s">
        <v>234</v>
      </c>
      <c r="C215" s="74"/>
      <c r="D215" s="85"/>
      <c r="E215" s="85"/>
      <c r="F215" s="85">
        <f>164000-20100</f>
        <v>143900</v>
      </c>
      <c r="G215" s="85"/>
      <c r="H215" s="85"/>
      <c r="I215" s="85"/>
      <c r="J215" s="85"/>
      <c r="K215" s="85"/>
      <c r="L215" s="85"/>
      <c r="M215" s="85"/>
      <c r="N215" s="85"/>
      <c r="O215" s="56">
        <f t="shared" si="42"/>
        <v>143900</v>
      </c>
    </row>
    <row r="216" spans="1:15" s="17" customFormat="1" ht="27.75" customHeight="1">
      <c r="A216" s="93" t="s">
        <v>320</v>
      </c>
      <c r="B216" s="58" t="s">
        <v>230</v>
      </c>
      <c r="C216" s="74"/>
      <c r="D216" s="85"/>
      <c r="E216" s="85"/>
      <c r="F216" s="85">
        <v>400</v>
      </c>
      <c r="G216" s="85"/>
      <c r="H216" s="85"/>
      <c r="I216" s="85"/>
      <c r="J216" s="85"/>
      <c r="K216" s="85"/>
      <c r="L216" s="85"/>
      <c r="M216" s="85"/>
      <c r="N216" s="85"/>
      <c r="O216" s="56">
        <f t="shared" si="42"/>
        <v>400</v>
      </c>
    </row>
    <row r="217" spans="1:15" s="17" customFormat="1" ht="15" customHeight="1">
      <c r="A217" s="93" t="s">
        <v>321</v>
      </c>
      <c r="B217" s="58" t="s">
        <v>231</v>
      </c>
      <c r="C217" s="74"/>
      <c r="D217" s="85"/>
      <c r="E217" s="85"/>
      <c r="F217" s="85">
        <f>70000-15964</f>
        <v>54036</v>
      </c>
      <c r="G217" s="85"/>
      <c r="H217" s="85"/>
      <c r="I217" s="85"/>
      <c r="J217" s="85"/>
      <c r="K217" s="85"/>
      <c r="L217" s="85"/>
      <c r="M217" s="85"/>
      <c r="N217" s="85"/>
      <c r="O217" s="56">
        <f t="shared" si="42"/>
        <v>54036</v>
      </c>
    </row>
    <row r="218" spans="1:15" s="17" customFormat="1" ht="15" customHeight="1">
      <c r="A218" s="93" t="s">
        <v>322</v>
      </c>
      <c r="B218" s="58" t="s">
        <v>48</v>
      </c>
      <c r="C218" s="74"/>
      <c r="D218" s="85"/>
      <c r="E218" s="85"/>
      <c r="F218" s="85">
        <f>243965-12736</f>
        <v>231229</v>
      </c>
      <c r="G218" s="85"/>
      <c r="H218" s="85"/>
      <c r="I218" s="85"/>
      <c r="J218" s="85"/>
      <c r="K218" s="85"/>
      <c r="L218" s="85"/>
      <c r="M218" s="85"/>
      <c r="N218" s="85"/>
      <c r="O218" s="56">
        <f t="shared" si="42"/>
        <v>231229</v>
      </c>
    </row>
    <row r="219" spans="1:15" s="17" customFormat="1" ht="15" customHeight="1">
      <c r="A219" s="93" t="s">
        <v>323</v>
      </c>
      <c r="B219" s="58" t="s">
        <v>232</v>
      </c>
      <c r="C219" s="74">
        <v>135000</v>
      </c>
      <c r="D219" s="85"/>
      <c r="E219" s="85"/>
      <c r="F219" s="85"/>
      <c r="G219" s="74"/>
      <c r="H219" s="85"/>
      <c r="I219" s="85"/>
      <c r="J219" s="85"/>
      <c r="K219" s="85"/>
      <c r="L219" s="85"/>
      <c r="M219" s="85"/>
      <c r="N219" s="85"/>
      <c r="O219" s="56">
        <f>C219+F219+I219+L219</f>
        <v>135000</v>
      </c>
    </row>
    <row r="220" spans="1:15" s="17" customFormat="1" ht="29.25" customHeight="1">
      <c r="A220" s="93" t="s">
        <v>324</v>
      </c>
      <c r="B220" s="58" t="s">
        <v>285</v>
      </c>
      <c r="C220" s="74"/>
      <c r="D220" s="85"/>
      <c r="E220" s="85"/>
      <c r="F220" s="85">
        <f>217500+6500</f>
        <v>224000</v>
      </c>
      <c r="G220" s="85"/>
      <c r="H220" s="85"/>
      <c r="I220" s="85"/>
      <c r="J220" s="85"/>
      <c r="K220" s="85"/>
      <c r="L220" s="85"/>
      <c r="M220" s="85"/>
      <c r="N220" s="85"/>
      <c r="O220" s="56">
        <f>C220+F220+I220+L220</f>
        <v>224000</v>
      </c>
    </row>
    <row r="221" spans="1:15" s="153" customFormat="1" ht="29.25" customHeight="1">
      <c r="A221" s="138" t="s">
        <v>325</v>
      </c>
      <c r="B221" s="181" t="s">
        <v>235</v>
      </c>
      <c r="C221" s="125"/>
      <c r="D221" s="126"/>
      <c r="E221" s="126"/>
      <c r="F221" s="126">
        <f>137535-8000</f>
        <v>129535</v>
      </c>
      <c r="G221" s="126">
        <f>105400-6100</f>
        <v>99300</v>
      </c>
      <c r="H221" s="126"/>
      <c r="I221" s="126"/>
      <c r="J221" s="126"/>
      <c r="K221" s="126"/>
      <c r="L221" s="126"/>
      <c r="M221" s="126"/>
      <c r="N221" s="126"/>
      <c r="O221" s="124">
        <f>C221+F221+I221+L221</f>
        <v>129535</v>
      </c>
    </row>
    <row r="222" spans="1:15" s="17" customFormat="1" ht="28.5" customHeight="1">
      <c r="A222" s="94" t="s">
        <v>326</v>
      </c>
      <c r="B222" s="58" t="s">
        <v>108</v>
      </c>
      <c r="C222" s="74">
        <v>330000</v>
      </c>
      <c r="D222" s="85"/>
      <c r="E222" s="85"/>
      <c r="F222" s="85"/>
      <c r="G222" s="85"/>
      <c r="H222" s="85"/>
      <c r="I222" s="87"/>
      <c r="J222" s="87"/>
      <c r="K222" s="85"/>
      <c r="L222" s="87"/>
      <c r="M222" s="85"/>
      <c r="N222" s="85"/>
      <c r="O222" s="56">
        <f t="shared" si="42"/>
        <v>330000</v>
      </c>
    </row>
    <row r="223" spans="1:15" s="135" customFormat="1" ht="44.25" customHeight="1">
      <c r="A223" s="138" t="s">
        <v>327</v>
      </c>
      <c r="B223" s="123" t="s">
        <v>356</v>
      </c>
      <c r="C223" s="131">
        <f>3000+2000</f>
        <v>5000</v>
      </c>
      <c r="D223" s="132"/>
      <c r="E223" s="132"/>
      <c r="F223" s="132"/>
      <c r="G223" s="132"/>
      <c r="H223" s="132"/>
      <c r="I223" s="132"/>
      <c r="J223" s="132"/>
      <c r="K223" s="132"/>
      <c r="L223" s="133"/>
      <c r="M223" s="132"/>
      <c r="N223" s="132"/>
      <c r="O223" s="124">
        <f t="shared" si="42"/>
        <v>5000</v>
      </c>
    </row>
    <row r="224" spans="1:16" s="11" customFormat="1" ht="28.5" customHeight="1">
      <c r="A224" s="94" t="s">
        <v>328</v>
      </c>
      <c r="B224" s="58" t="s">
        <v>284</v>
      </c>
      <c r="C224" s="60">
        <v>4000</v>
      </c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56">
        <f t="shared" si="42"/>
        <v>4000</v>
      </c>
      <c r="P224" s="14"/>
    </row>
    <row r="225" spans="1:16" s="11" customFormat="1" ht="28.5" customHeight="1">
      <c r="A225" s="94" t="s">
        <v>329</v>
      </c>
      <c r="B225" s="58" t="s">
        <v>346</v>
      </c>
      <c r="C225" s="60">
        <v>2700</v>
      </c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56">
        <f t="shared" si="42"/>
        <v>2700</v>
      </c>
      <c r="P225" s="14"/>
    </row>
    <row r="226" spans="1:16" s="11" customFormat="1" ht="15" customHeight="1">
      <c r="A226" s="94" t="s">
        <v>330</v>
      </c>
      <c r="B226" s="58" t="s">
        <v>347</v>
      </c>
      <c r="C226" s="60">
        <f>56000</f>
        <v>56000</v>
      </c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56">
        <f t="shared" si="42"/>
        <v>56000</v>
      </c>
      <c r="P226" s="14"/>
    </row>
    <row r="227" spans="1:16" s="165" customFormat="1" ht="43.5" customHeight="1">
      <c r="A227" s="138" t="s">
        <v>331</v>
      </c>
      <c r="B227" s="123" t="s">
        <v>279</v>
      </c>
      <c r="C227" s="125">
        <f>14000-2000</f>
        <v>12000</v>
      </c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24">
        <f t="shared" si="42"/>
        <v>12000</v>
      </c>
      <c r="P227" s="129"/>
    </row>
    <row r="228" spans="1:15" s="17" customFormat="1" ht="14.25" customHeight="1">
      <c r="A228" s="94" t="s">
        <v>332</v>
      </c>
      <c r="B228" s="58" t="s">
        <v>281</v>
      </c>
      <c r="C228" s="74">
        <v>1000</v>
      </c>
      <c r="D228" s="85"/>
      <c r="E228" s="85"/>
      <c r="F228" s="87"/>
      <c r="G228" s="85"/>
      <c r="H228" s="85"/>
      <c r="I228" s="87"/>
      <c r="J228" s="87"/>
      <c r="K228" s="85"/>
      <c r="L228" s="87"/>
      <c r="M228" s="85"/>
      <c r="N228" s="85"/>
      <c r="O228" s="56">
        <f t="shared" si="42"/>
        <v>1000</v>
      </c>
    </row>
    <row r="229" spans="1:15" s="17" customFormat="1" ht="15.75" customHeight="1">
      <c r="A229" s="94" t="s">
        <v>333</v>
      </c>
      <c r="B229" s="58" t="s">
        <v>350</v>
      </c>
      <c r="C229" s="74">
        <v>39900</v>
      </c>
      <c r="D229" s="85"/>
      <c r="E229" s="85"/>
      <c r="F229" s="87"/>
      <c r="G229" s="85"/>
      <c r="H229" s="85"/>
      <c r="I229" s="87"/>
      <c r="J229" s="87"/>
      <c r="K229" s="85"/>
      <c r="L229" s="87"/>
      <c r="M229" s="85"/>
      <c r="N229" s="85"/>
      <c r="O229" s="56">
        <f t="shared" si="42"/>
        <v>39900</v>
      </c>
    </row>
    <row r="230" spans="1:15" s="17" customFormat="1" ht="29.25" customHeight="1">
      <c r="A230" s="94" t="s">
        <v>334</v>
      </c>
      <c r="B230" s="58" t="s">
        <v>287</v>
      </c>
      <c r="C230" s="74">
        <v>8300</v>
      </c>
      <c r="D230" s="85"/>
      <c r="E230" s="85"/>
      <c r="F230" s="87"/>
      <c r="G230" s="85"/>
      <c r="H230" s="85"/>
      <c r="I230" s="87"/>
      <c r="J230" s="87"/>
      <c r="K230" s="85"/>
      <c r="L230" s="87"/>
      <c r="M230" s="85"/>
      <c r="N230" s="85"/>
      <c r="O230" s="56">
        <f t="shared" si="42"/>
        <v>8300</v>
      </c>
    </row>
    <row r="231" spans="1:15" s="11" customFormat="1" ht="29.25" customHeight="1">
      <c r="A231" s="94" t="s">
        <v>335</v>
      </c>
      <c r="B231" s="64" t="s">
        <v>49</v>
      </c>
      <c r="C231" s="60">
        <f>108300-10000</f>
        <v>98300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56">
        <f t="shared" si="42"/>
        <v>98300</v>
      </c>
    </row>
    <row r="232" spans="1:15" s="17" customFormat="1" ht="16.5" customHeight="1">
      <c r="A232" s="94" t="s">
        <v>336</v>
      </c>
      <c r="B232" s="58" t="s">
        <v>209</v>
      </c>
      <c r="C232" s="95">
        <v>12000</v>
      </c>
      <c r="D232" s="85"/>
      <c r="E232" s="85"/>
      <c r="F232" s="87"/>
      <c r="G232" s="85"/>
      <c r="H232" s="85"/>
      <c r="I232" s="87"/>
      <c r="J232" s="87"/>
      <c r="K232" s="85"/>
      <c r="L232" s="87"/>
      <c r="M232" s="85"/>
      <c r="N232" s="85"/>
      <c r="O232" s="56">
        <f t="shared" si="42"/>
        <v>12000</v>
      </c>
    </row>
    <row r="233" spans="1:15" s="17" customFormat="1" ht="30.75" customHeight="1">
      <c r="A233" s="94" t="s">
        <v>337</v>
      </c>
      <c r="B233" s="58" t="s">
        <v>516</v>
      </c>
      <c r="C233" s="74">
        <v>68600</v>
      </c>
      <c r="D233" s="85"/>
      <c r="E233" s="85">
        <v>68600</v>
      </c>
      <c r="F233" s="87"/>
      <c r="G233" s="85"/>
      <c r="H233" s="85"/>
      <c r="I233" s="87"/>
      <c r="J233" s="87"/>
      <c r="K233" s="85"/>
      <c r="L233" s="87"/>
      <c r="M233" s="85"/>
      <c r="N233" s="85"/>
      <c r="O233" s="56">
        <f t="shared" si="42"/>
        <v>68600</v>
      </c>
    </row>
    <row r="234" spans="1:15" s="17" customFormat="1" ht="18" customHeight="1">
      <c r="A234" s="94" t="s">
        <v>338</v>
      </c>
      <c r="B234" s="58" t="s">
        <v>517</v>
      </c>
      <c r="C234" s="74">
        <v>15000</v>
      </c>
      <c r="D234" s="85"/>
      <c r="E234" s="85"/>
      <c r="F234" s="87"/>
      <c r="G234" s="85"/>
      <c r="H234" s="85"/>
      <c r="I234" s="87"/>
      <c r="J234" s="87"/>
      <c r="K234" s="85"/>
      <c r="L234" s="87"/>
      <c r="M234" s="85"/>
      <c r="N234" s="85"/>
      <c r="O234" s="56">
        <f t="shared" si="42"/>
        <v>15000</v>
      </c>
    </row>
    <row r="235" spans="1:15" s="17" customFormat="1" ht="28.5" customHeight="1">
      <c r="A235" s="94" t="s">
        <v>339</v>
      </c>
      <c r="B235" s="58" t="s">
        <v>236</v>
      </c>
      <c r="C235" s="74">
        <v>67100</v>
      </c>
      <c r="D235" s="85">
        <v>51400</v>
      </c>
      <c r="E235" s="85"/>
      <c r="F235" s="87"/>
      <c r="G235" s="85"/>
      <c r="H235" s="85"/>
      <c r="I235" s="87"/>
      <c r="J235" s="87"/>
      <c r="K235" s="85"/>
      <c r="L235" s="87"/>
      <c r="M235" s="85"/>
      <c r="N235" s="85"/>
      <c r="O235" s="56">
        <f t="shared" si="42"/>
        <v>67100</v>
      </c>
    </row>
    <row r="236" spans="1:15" s="17" customFormat="1" ht="30" customHeight="1">
      <c r="A236" s="94" t="s">
        <v>340</v>
      </c>
      <c r="B236" s="58" t="s">
        <v>282</v>
      </c>
      <c r="C236" s="74">
        <f>72700+5240</f>
        <v>77940</v>
      </c>
      <c r="D236" s="85">
        <v>55700</v>
      </c>
      <c r="E236" s="85">
        <v>3007</v>
      </c>
      <c r="F236" s="87"/>
      <c r="G236" s="85"/>
      <c r="H236" s="85"/>
      <c r="I236" s="87"/>
      <c r="J236" s="87"/>
      <c r="K236" s="85"/>
      <c r="L236" s="87"/>
      <c r="M236" s="85"/>
      <c r="N236" s="85"/>
      <c r="O236" s="56">
        <f t="shared" si="42"/>
        <v>77940</v>
      </c>
    </row>
    <row r="237" spans="1:15" s="17" customFormat="1" ht="29.25" customHeight="1">
      <c r="A237" s="94" t="s">
        <v>341</v>
      </c>
      <c r="B237" s="58" t="s">
        <v>283</v>
      </c>
      <c r="C237" s="74">
        <f>131800+15000</f>
        <v>146800</v>
      </c>
      <c r="D237" s="85">
        <v>101000</v>
      </c>
      <c r="E237" s="85">
        <v>15000</v>
      </c>
      <c r="F237" s="87"/>
      <c r="G237" s="85"/>
      <c r="H237" s="85"/>
      <c r="I237" s="87"/>
      <c r="J237" s="87"/>
      <c r="K237" s="85"/>
      <c r="L237" s="87"/>
      <c r="M237" s="85"/>
      <c r="N237" s="85"/>
      <c r="O237" s="56">
        <f t="shared" si="42"/>
        <v>146800</v>
      </c>
    </row>
    <row r="238" spans="1:15" s="17" customFormat="1" ht="43.5" customHeight="1">
      <c r="A238" s="94" t="s">
        <v>342</v>
      </c>
      <c r="B238" s="58" t="s">
        <v>280</v>
      </c>
      <c r="C238" s="74">
        <v>48100</v>
      </c>
      <c r="D238" s="85">
        <v>34100</v>
      </c>
      <c r="E238" s="85"/>
      <c r="F238" s="87"/>
      <c r="G238" s="85"/>
      <c r="H238" s="85"/>
      <c r="I238" s="87"/>
      <c r="J238" s="87"/>
      <c r="K238" s="85"/>
      <c r="L238" s="87"/>
      <c r="M238" s="85"/>
      <c r="N238" s="85"/>
      <c r="O238" s="56">
        <f t="shared" si="42"/>
        <v>48100</v>
      </c>
    </row>
    <row r="239" spans="1:15" s="17" customFormat="1" ht="44.25" customHeight="1">
      <c r="A239" s="94" t="s">
        <v>343</v>
      </c>
      <c r="B239" s="58" t="s">
        <v>367</v>
      </c>
      <c r="C239" s="74">
        <f>141300+2860</f>
        <v>144160</v>
      </c>
      <c r="D239" s="85">
        <v>99100</v>
      </c>
      <c r="E239" s="85">
        <v>1328</v>
      </c>
      <c r="F239" s="87"/>
      <c r="G239" s="85"/>
      <c r="H239" s="85"/>
      <c r="I239" s="87"/>
      <c r="J239" s="87"/>
      <c r="K239" s="85"/>
      <c r="L239" s="87"/>
      <c r="M239" s="85"/>
      <c r="N239" s="85"/>
      <c r="O239" s="56">
        <f t="shared" si="42"/>
        <v>144160</v>
      </c>
    </row>
    <row r="240" spans="1:15" s="17" customFormat="1" ht="45.75" customHeight="1">
      <c r="A240" s="94" t="s">
        <v>344</v>
      </c>
      <c r="B240" s="58" t="s">
        <v>294</v>
      </c>
      <c r="C240" s="74">
        <v>33600</v>
      </c>
      <c r="D240" s="85">
        <v>23900</v>
      </c>
      <c r="E240" s="85"/>
      <c r="F240" s="87"/>
      <c r="G240" s="85"/>
      <c r="H240" s="85"/>
      <c r="I240" s="87"/>
      <c r="J240" s="87"/>
      <c r="K240" s="85"/>
      <c r="L240" s="87"/>
      <c r="M240" s="85"/>
      <c r="N240" s="85"/>
      <c r="O240" s="56">
        <f t="shared" si="42"/>
        <v>33600</v>
      </c>
    </row>
    <row r="241" spans="1:15" s="17" customFormat="1" ht="31.5" customHeight="1">
      <c r="A241" s="94" t="s">
        <v>348</v>
      </c>
      <c r="B241" s="58" t="s">
        <v>286</v>
      </c>
      <c r="C241" s="74">
        <v>5900</v>
      </c>
      <c r="D241" s="85"/>
      <c r="E241" s="85"/>
      <c r="F241" s="87"/>
      <c r="G241" s="85"/>
      <c r="H241" s="85"/>
      <c r="I241" s="87"/>
      <c r="J241" s="87"/>
      <c r="K241" s="85"/>
      <c r="L241" s="87"/>
      <c r="M241" s="85"/>
      <c r="N241" s="85"/>
      <c r="O241" s="56">
        <f t="shared" si="42"/>
        <v>5900</v>
      </c>
    </row>
    <row r="242" spans="1:15" s="17" customFormat="1" ht="57.75" customHeight="1">
      <c r="A242" s="94" t="s">
        <v>349</v>
      </c>
      <c r="B242" s="58" t="s">
        <v>518</v>
      </c>
      <c r="C242" s="74">
        <v>18500</v>
      </c>
      <c r="D242" s="85"/>
      <c r="E242" s="85"/>
      <c r="F242" s="87"/>
      <c r="G242" s="85"/>
      <c r="H242" s="85"/>
      <c r="I242" s="87"/>
      <c r="J242" s="87"/>
      <c r="K242" s="85"/>
      <c r="L242" s="87"/>
      <c r="M242" s="85"/>
      <c r="N242" s="85"/>
      <c r="O242" s="56">
        <f t="shared" si="42"/>
        <v>18500</v>
      </c>
    </row>
    <row r="243" spans="1:15" s="17" customFormat="1" ht="29.25" customHeight="1">
      <c r="A243" s="94" t="s">
        <v>349</v>
      </c>
      <c r="B243" s="58" t="s">
        <v>519</v>
      </c>
      <c r="C243" s="74"/>
      <c r="D243" s="85"/>
      <c r="E243" s="85"/>
      <c r="F243" s="85">
        <f>130831</f>
        <v>130831</v>
      </c>
      <c r="G243" s="85"/>
      <c r="H243" s="85">
        <f>130831</f>
        <v>130831</v>
      </c>
      <c r="I243" s="87"/>
      <c r="J243" s="87"/>
      <c r="K243" s="85"/>
      <c r="L243" s="87"/>
      <c r="M243" s="85"/>
      <c r="N243" s="85"/>
      <c r="O243" s="56">
        <f t="shared" si="42"/>
        <v>130831</v>
      </c>
    </row>
    <row r="244" spans="1:15" s="135" customFormat="1" ht="29.25" customHeight="1">
      <c r="A244" s="138" t="s">
        <v>541</v>
      </c>
      <c r="B244" s="123" t="s">
        <v>542</v>
      </c>
      <c r="C244" s="131"/>
      <c r="D244" s="132"/>
      <c r="E244" s="132"/>
      <c r="F244" s="132">
        <f>49334+18654</f>
        <v>67988</v>
      </c>
      <c r="G244" s="132"/>
      <c r="H244" s="132"/>
      <c r="I244" s="133"/>
      <c r="J244" s="133"/>
      <c r="K244" s="132"/>
      <c r="L244" s="133"/>
      <c r="M244" s="132"/>
      <c r="N244" s="132"/>
      <c r="O244" s="124">
        <f t="shared" si="42"/>
        <v>67988</v>
      </c>
    </row>
    <row r="245" spans="1:15" s="135" customFormat="1" ht="43.5" customHeight="1">
      <c r="A245" s="138" t="s">
        <v>543</v>
      </c>
      <c r="B245" s="123" t="s">
        <v>544</v>
      </c>
      <c r="C245" s="131"/>
      <c r="D245" s="132"/>
      <c r="E245" s="132"/>
      <c r="F245" s="132">
        <f>5722+71121</f>
        <v>76843</v>
      </c>
      <c r="G245" s="132"/>
      <c r="H245" s="132">
        <f>5722+71121</f>
        <v>76843</v>
      </c>
      <c r="I245" s="133"/>
      <c r="J245" s="133"/>
      <c r="K245" s="132"/>
      <c r="L245" s="133"/>
      <c r="M245" s="132"/>
      <c r="N245" s="132"/>
      <c r="O245" s="124">
        <f>C245+F245+I245+L245</f>
        <v>76843</v>
      </c>
    </row>
    <row r="246" spans="1:15" s="17" customFormat="1" ht="44.25" customHeight="1">
      <c r="A246" s="94" t="s">
        <v>569</v>
      </c>
      <c r="B246" s="58" t="s">
        <v>557</v>
      </c>
      <c r="C246" s="74">
        <f>10000-4000</f>
        <v>6000</v>
      </c>
      <c r="D246" s="85"/>
      <c r="E246" s="85"/>
      <c r="F246" s="87"/>
      <c r="G246" s="85"/>
      <c r="H246" s="85"/>
      <c r="I246" s="87"/>
      <c r="J246" s="87"/>
      <c r="K246" s="85"/>
      <c r="L246" s="87"/>
      <c r="M246" s="85"/>
      <c r="N246" s="85"/>
      <c r="O246" s="56">
        <f>C246+F246+I246+L246</f>
        <v>6000</v>
      </c>
    </row>
    <row r="247" spans="1:15" s="11" customFormat="1" ht="16.5" customHeight="1">
      <c r="A247" s="53" t="s">
        <v>256</v>
      </c>
      <c r="B247" s="54" t="s">
        <v>15</v>
      </c>
      <c r="C247" s="62">
        <f>143800+1500+3500</f>
        <v>148800</v>
      </c>
      <c r="D247" s="56">
        <v>110200</v>
      </c>
      <c r="E247" s="56"/>
      <c r="F247" s="56"/>
      <c r="G247" s="56"/>
      <c r="H247" s="56"/>
      <c r="I247" s="56"/>
      <c r="J247" s="56"/>
      <c r="K247" s="56"/>
      <c r="L247" s="56">
        <f>60+123361+4630</f>
        <v>128051</v>
      </c>
      <c r="M247" s="56">
        <f>33900+2474</f>
        <v>36374</v>
      </c>
      <c r="N247" s="56"/>
      <c r="O247" s="56">
        <f t="shared" si="42"/>
        <v>276851</v>
      </c>
    </row>
    <row r="248" spans="1:15" s="17" customFormat="1" ht="31.5" customHeight="1">
      <c r="A248" s="53" t="s">
        <v>189</v>
      </c>
      <c r="B248" s="54" t="s">
        <v>31</v>
      </c>
      <c r="C248" s="87">
        <f>SUM(C249)</f>
        <v>15000</v>
      </c>
      <c r="D248" s="85"/>
      <c r="E248" s="85"/>
      <c r="F248" s="87">
        <f>SUM(F249)</f>
        <v>184900</v>
      </c>
      <c r="G248" s="85"/>
      <c r="H248" s="85"/>
      <c r="I248" s="87"/>
      <c r="J248" s="87"/>
      <c r="K248" s="85"/>
      <c r="L248" s="87"/>
      <c r="M248" s="85"/>
      <c r="N248" s="85"/>
      <c r="O248" s="56">
        <f t="shared" si="42"/>
        <v>199900</v>
      </c>
    </row>
    <row r="249" spans="1:15" s="18" customFormat="1" ht="16.5" customHeight="1">
      <c r="A249" s="63" t="s">
        <v>106</v>
      </c>
      <c r="B249" s="64" t="s">
        <v>520</v>
      </c>
      <c r="C249" s="74">
        <v>15000</v>
      </c>
      <c r="D249" s="64"/>
      <c r="E249" s="74"/>
      <c r="F249" s="74">
        <v>184900</v>
      </c>
      <c r="G249" s="74"/>
      <c r="H249" s="74"/>
      <c r="I249" s="64"/>
      <c r="J249" s="64"/>
      <c r="K249" s="64"/>
      <c r="L249" s="64"/>
      <c r="M249" s="64"/>
      <c r="N249" s="64"/>
      <c r="O249" s="56">
        <f t="shared" si="42"/>
        <v>199900</v>
      </c>
    </row>
    <row r="250" spans="1:18" s="14" customFormat="1" ht="18" customHeight="1">
      <c r="A250" s="96"/>
      <c r="B250" s="97" t="s">
        <v>33</v>
      </c>
      <c r="C250" s="98">
        <f aca="true" t="shared" si="43" ref="C250:O250">C15+C48+C54+C64+C99+C121+C152+C210</f>
        <v>15276759</v>
      </c>
      <c r="D250" s="98">
        <f t="shared" si="43"/>
        <v>6037589</v>
      </c>
      <c r="E250" s="98">
        <f t="shared" si="43"/>
        <v>606020</v>
      </c>
      <c r="F250" s="98">
        <f t="shared" si="43"/>
        <v>4413902</v>
      </c>
      <c r="G250" s="98">
        <f t="shared" si="43"/>
        <v>732088</v>
      </c>
      <c r="H250" s="98">
        <f t="shared" si="43"/>
        <v>1981613</v>
      </c>
      <c r="I250" s="98">
        <f t="shared" si="43"/>
        <v>7175100</v>
      </c>
      <c r="J250" s="98">
        <f t="shared" si="43"/>
        <v>4343385</v>
      </c>
      <c r="K250" s="98">
        <f t="shared" si="43"/>
        <v>923492</v>
      </c>
      <c r="L250" s="98">
        <f>L15+L48+L54+L64+L99+L121+L152+L210</f>
        <v>1375650</v>
      </c>
      <c r="M250" s="98">
        <f t="shared" si="43"/>
        <v>54837</v>
      </c>
      <c r="N250" s="98">
        <f t="shared" si="43"/>
        <v>4150</v>
      </c>
      <c r="O250" s="98">
        <f t="shared" si="43"/>
        <v>28241411</v>
      </c>
      <c r="Q250" s="183"/>
      <c r="R250" s="16"/>
    </row>
    <row r="251" spans="1:15" s="17" customFormat="1" ht="31.5" customHeight="1">
      <c r="A251" s="53" t="s">
        <v>190</v>
      </c>
      <c r="B251" s="54" t="s">
        <v>31</v>
      </c>
      <c r="C251" s="87">
        <f>SUM(C252)</f>
        <v>840600</v>
      </c>
      <c r="D251" s="85"/>
      <c r="E251" s="85"/>
      <c r="F251" s="87">
        <f>SUM(F252)</f>
        <v>0</v>
      </c>
      <c r="G251" s="85"/>
      <c r="H251" s="85"/>
      <c r="I251" s="87"/>
      <c r="J251" s="87"/>
      <c r="K251" s="85"/>
      <c r="L251" s="87"/>
      <c r="M251" s="85"/>
      <c r="N251" s="85"/>
      <c r="O251" s="56">
        <f>C251+F251+I251+L251</f>
        <v>840600</v>
      </c>
    </row>
    <row r="252" spans="1:15" s="14" customFormat="1" ht="18" customHeight="1">
      <c r="A252" s="152" t="s">
        <v>345</v>
      </c>
      <c r="B252" s="64" t="s">
        <v>351</v>
      </c>
      <c r="C252" s="59">
        <f>840600</f>
        <v>840600</v>
      </c>
      <c r="D252" s="65"/>
      <c r="E252" s="59"/>
      <c r="F252" s="65"/>
      <c r="G252" s="65"/>
      <c r="H252" s="65"/>
      <c r="I252" s="65"/>
      <c r="J252" s="65"/>
      <c r="K252" s="65"/>
      <c r="L252" s="65"/>
      <c r="M252" s="65"/>
      <c r="N252" s="65"/>
      <c r="O252" s="56">
        <f>C252+F252+I252+L252</f>
        <v>840600</v>
      </c>
    </row>
    <row r="253" spans="1:12" s="14" customFormat="1" ht="15" customHeight="1">
      <c r="A253" s="1"/>
      <c r="B253" s="184"/>
      <c r="C253" s="16"/>
      <c r="F253" s="16"/>
      <c r="I253" s="16"/>
      <c r="J253" s="16"/>
      <c r="L253" s="16"/>
    </row>
    <row r="254" spans="1:12" s="14" customFormat="1" ht="15" customHeight="1">
      <c r="A254" s="1"/>
      <c r="B254" s="5"/>
      <c r="C254" s="16"/>
      <c r="F254" s="16"/>
      <c r="I254" s="16"/>
      <c r="J254" s="16"/>
      <c r="L254" s="16"/>
    </row>
    <row r="255" spans="1:12" s="14" customFormat="1" ht="15" customHeight="1">
      <c r="A255" s="1"/>
      <c r="B255" s="5"/>
      <c r="C255" s="16"/>
      <c r="F255" s="185"/>
      <c r="G255" s="186"/>
      <c r="H255" s="186"/>
      <c r="I255" s="185"/>
      <c r="J255" s="16"/>
      <c r="L255" s="16"/>
    </row>
    <row r="256" spans="1:12" s="14" customFormat="1" ht="15" customHeight="1">
      <c r="A256" s="1"/>
      <c r="B256" s="5"/>
      <c r="C256" s="16"/>
      <c r="F256" s="16"/>
      <c r="I256" s="16"/>
      <c r="J256" s="16"/>
      <c r="L256" s="16"/>
    </row>
    <row r="257" spans="1:12" s="14" customFormat="1" ht="15" customHeight="1">
      <c r="A257" s="1"/>
      <c r="B257" s="5"/>
      <c r="C257" s="16"/>
      <c r="F257" s="16"/>
      <c r="I257" s="16"/>
      <c r="J257" s="16"/>
      <c r="L257" s="16"/>
    </row>
    <row r="258" spans="1:12" s="14" customFormat="1" ht="15" customHeight="1">
      <c r="A258" s="1"/>
      <c r="B258" s="5"/>
      <c r="C258" s="16"/>
      <c r="F258" s="16"/>
      <c r="I258" s="16"/>
      <c r="J258" s="16"/>
      <c r="L258" s="16"/>
    </row>
    <row r="259" spans="1:12" s="14" customFormat="1" ht="15" customHeight="1">
      <c r="A259" s="1"/>
      <c r="B259" s="5"/>
      <c r="C259" s="16"/>
      <c r="F259" s="16"/>
      <c r="I259" s="16"/>
      <c r="J259" s="16"/>
      <c r="L259" s="16"/>
    </row>
    <row r="260" spans="1:12" s="14" customFormat="1" ht="15" customHeight="1">
      <c r="A260" s="1"/>
      <c r="B260" s="5"/>
      <c r="C260" s="16"/>
      <c r="F260" s="16"/>
      <c r="I260" s="16"/>
      <c r="J260" s="16"/>
      <c r="L260" s="16"/>
    </row>
    <row r="261" spans="1:12" s="14" customFormat="1" ht="15" customHeight="1">
      <c r="A261" s="1"/>
      <c r="B261" s="5"/>
      <c r="C261" s="16"/>
      <c r="F261" s="16"/>
      <c r="I261" s="16"/>
      <c r="J261" s="16"/>
      <c r="L261" s="16"/>
    </row>
    <row r="262" spans="1:12" s="14" customFormat="1" ht="15" customHeight="1">
      <c r="A262" s="1"/>
      <c r="B262" s="5"/>
      <c r="C262" s="16"/>
      <c r="F262" s="16"/>
      <c r="I262" s="16"/>
      <c r="J262" s="16"/>
      <c r="L262" s="16"/>
    </row>
    <row r="263" spans="1:12" s="14" customFormat="1" ht="15" customHeight="1">
      <c r="A263" s="1"/>
      <c r="B263" s="5"/>
      <c r="C263" s="16"/>
      <c r="F263" s="16"/>
      <c r="I263" s="16"/>
      <c r="J263" s="16"/>
      <c r="L263" s="16"/>
    </row>
    <row r="264" spans="1:12" s="14" customFormat="1" ht="15" customHeight="1">
      <c r="A264" s="1"/>
      <c r="B264" s="5"/>
      <c r="C264" s="16"/>
      <c r="F264" s="16"/>
      <c r="I264" s="16"/>
      <c r="J264" s="16"/>
      <c r="L264" s="16"/>
    </row>
    <row r="265" spans="1:12" s="14" customFormat="1" ht="15" customHeight="1">
      <c r="A265" s="1"/>
      <c r="B265" s="5"/>
      <c r="C265" s="16"/>
      <c r="F265" s="16"/>
      <c r="I265" s="16"/>
      <c r="J265" s="16"/>
      <c r="L265" s="16"/>
    </row>
    <row r="266" spans="1:12" s="14" customFormat="1" ht="15" customHeight="1">
      <c r="A266" s="1"/>
      <c r="B266" s="5"/>
      <c r="C266" s="16"/>
      <c r="F266" s="16"/>
      <c r="I266" s="16"/>
      <c r="J266" s="16"/>
      <c r="L266" s="16"/>
    </row>
    <row r="267" spans="1:12" s="14" customFormat="1" ht="15" customHeight="1">
      <c r="A267" s="1"/>
      <c r="B267" s="5"/>
      <c r="C267" s="16"/>
      <c r="F267" s="16"/>
      <c r="I267" s="16"/>
      <c r="J267" s="16"/>
      <c r="L267" s="16"/>
    </row>
    <row r="268" spans="1:12" s="14" customFormat="1" ht="15" customHeight="1">
      <c r="A268" s="1"/>
      <c r="B268" s="5"/>
      <c r="C268" s="16"/>
      <c r="F268" s="16"/>
      <c r="I268" s="16"/>
      <c r="J268" s="16"/>
      <c r="L268" s="16"/>
    </row>
    <row r="269" spans="1:12" s="14" customFormat="1" ht="15" customHeight="1">
      <c r="A269" s="1"/>
      <c r="B269" s="5"/>
      <c r="C269" s="16"/>
      <c r="F269" s="16"/>
      <c r="I269" s="16"/>
      <c r="J269" s="16"/>
      <c r="L269" s="16"/>
    </row>
    <row r="270" spans="1:12" s="14" customFormat="1" ht="15" customHeight="1">
      <c r="A270" s="1"/>
      <c r="B270" s="5"/>
      <c r="C270" s="16"/>
      <c r="F270" s="16"/>
      <c r="I270" s="16"/>
      <c r="J270" s="16"/>
      <c r="L270" s="16"/>
    </row>
    <row r="271" spans="1:12" s="14" customFormat="1" ht="15" customHeight="1">
      <c r="A271" s="1"/>
      <c r="B271" s="5"/>
      <c r="C271" s="16"/>
      <c r="F271" s="16"/>
      <c r="I271" s="16"/>
      <c r="J271" s="16"/>
      <c r="L271" s="16"/>
    </row>
    <row r="272" spans="1:12" s="14" customFormat="1" ht="15" customHeight="1">
      <c r="A272" s="1"/>
      <c r="B272" s="5"/>
      <c r="C272" s="16"/>
      <c r="F272" s="16"/>
      <c r="I272" s="16"/>
      <c r="J272" s="16"/>
      <c r="L272" s="16"/>
    </row>
    <row r="273" spans="1:12" s="14" customFormat="1" ht="15" customHeight="1">
      <c r="A273" s="1"/>
      <c r="B273" s="5"/>
      <c r="C273" s="16"/>
      <c r="F273" s="16"/>
      <c r="I273" s="16"/>
      <c r="J273" s="16"/>
      <c r="L273" s="16"/>
    </row>
    <row r="274" spans="1:12" s="14" customFormat="1" ht="15" customHeight="1">
      <c r="A274" s="1"/>
      <c r="B274" s="5"/>
      <c r="C274" s="16"/>
      <c r="F274" s="16"/>
      <c r="I274" s="16"/>
      <c r="J274" s="16"/>
      <c r="L274" s="16"/>
    </row>
    <row r="275" spans="1:12" s="14" customFormat="1" ht="15" customHeight="1">
      <c r="A275" s="1"/>
      <c r="B275" s="5"/>
      <c r="C275" s="16"/>
      <c r="F275" s="16"/>
      <c r="I275" s="16"/>
      <c r="J275" s="16"/>
      <c r="L275" s="16"/>
    </row>
  </sheetData>
  <sheetProtection/>
  <mergeCells count="32">
    <mergeCell ref="B151:O151"/>
    <mergeCell ref="B209:O209"/>
    <mergeCell ref="B47:O47"/>
    <mergeCell ref="B53:O53"/>
    <mergeCell ref="B63:O63"/>
    <mergeCell ref="B98:O98"/>
    <mergeCell ref="B120:O120"/>
    <mergeCell ref="A9:A12"/>
    <mergeCell ref="B9:B12"/>
    <mergeCell ref="C9:E9"/>
    <mergeCell ref="F9:H9"/>
    <mergeCell ref="I9:K9"/>
    <mergeCell ref="H11:H12"/>
    <mergeCell ref="J11:J12"/>
    <mergeCell ref="G11:G12"/>
    <mergeCell ref="D11:D12"/>
    <mergeCell ref="G10:H10"/>
    <mergeCell ref="I10:I12"/>
    <mergeCell ref="E11:E12"/>
    <mergeCell ref="J10:K10"/>
    <mergeCell ref="L10:L12"/>
    <mergeCell ref="B7:K7"/>
    <mergeCell ref="M10:N10"/>
    <mergeCell ref="K11:K12"/>
    <mergeCell ref="M11:M12"/>
    <mergeCell ref="N11:N12"/>
    <mergeCell ref="B14:O14"/>
    <mergeCell ref="L9:N9"/>
    <mergeCell ref="O9:O12"/>
    <mergeCell ref="C10:C12"/>
    <mergeCell ref="D10:E10"/>
    <mergeCell ref="F10:F12"/>
  </mergeCells>
  <printOptions/>
  <pageMargins left="0.07874015748031496" right="0" top="0.8661417322834646" bottom="0.5118110236220472" header="0.31496062992125984" footer="0.31496062992125984"/>
  <pageSetup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8.28125" style="24" customWidth="1"/>
    <col min="2" max="2" width="65.7109375" style="23" customWidth="1"/>
    <col min="3" max="3" width="15.8515625" style="23" customWidth="1"/>
    <col min="4" max="4" width="3.7109375" style="23" customWidth="1"/>
    <col min="5" max="16384" width="9.140625" style="23" customWidth="1"/>
  </cols>
  <sheetData>
    <row r="1" spans="1:5" ht="15.75">
      <c r="A1" s="167"/>
      <c r="B1" s="191" t="s">
        <v>371</v>
      </c>
      <c r="C1" s="191"/>
      <c r="D1" s="4"/>
      <c r="E1" s="4"/>
    </row>
    <row r="2" spans="1:5" ht="15.75">
      <c r="A2" s="167"/>
      <c r="B2" s="191" t="s">
        <v>521</v>
      </c>
      <c r="C2" s="191"/>
      <c r="D2" s="4"/>
      <c r="E2" s="4"/>
    </row>
    <row r="3" spans="1:3" ht="15.75">
      <c r="A3" s="31"/>
      <c r="B3" s="25" t="s">
        <v>559</v>
      </c>
      <c r="C3" s="25"/>
    </row>
    <row r="4" spans="1:3" ht="15.75">
      <c r="A4" s="31"/>
      <c r="B4" s="25" t="s">
        <v>556</v>
      </c>
      <c r="C4" s="25"/>
    </row>
    <row r="5" spans="1:5" ht="15.75">
      <c r="A5" s="167"/>
      <c r="B5" s="25" t="s">
        <v>433</v>
      </c>
      <c r="C5" s="26"/>
      <c r="D5" s="4"/>
      <c r="E5" s="4"/>
    </row>
    <row r="6" spans="1:5" ht="8.25" customHeight="1">
      <c r="A6" s="167"/>
      <c r="B6" s="26"/>
      <c r="C6" s="26"/>
      <c r="D6" s="4"/>
      <c r="E6" s="4"/>
    </row>
    <row r="7" spans="1:3" ht="14.25">
      <c r="A7" s="167"/>
      <c r="B7" s="106"/>
      <c r="C7" s="106"/>
    </row>
    <row r="8" spans="1:3" ht="15.75">
      <c r="A8" s="192" t="s">
        <v>434</v>
      </c>
      <c r="B8" s="192"/>
      <c r="C8" s="192"/>
    </row>
    <row r="9" spans="1:3" ht="15.75">
      <c r="A9" s="192" t="s">
        <v>435</v>
      </c>
      <c r="B9" s="192"/>
      <c r="C9" s="192"/>
    </row>
    <row r="10" ht="14.25">
      <c r="A10" s="167"/>
    </row>
    <row r="11" ht="14.25">
      <c r="A11" s="167"/>
    </row>
    <row r="12" spans="1:3" ht="15" customHeight="1">
      <c r="A12" s="211" t="s">
        <v>56</v>
      </c>
      <c r="B12" s="211" t="s">
        <v>436</v>
      </c>
      <c r="C12" s="211" t="s">
        <v>437</v>
      </c>
    </row>
    <row r="13" spans="1:3" ht="18.75" customHeight="1">
      <c r="A13" s="212"/>
      <c r="B13" s="212"/>
      <c r="C13" s="212"/>
    </row>
    <row r="14" spans="1:3" ht="19.5" customHeight="1">
      <c r="A14" s="99" t="s">
        <v>69</v>
      </c>
      <c r="B14" s="107" t="s">
        <v>438</v>
      </c>
      <c r="C14" s="100">
        <v>400</v>
      </c>
    </row>
    <row r="15" spans="1:3" ht="19.5" customHeight="1">
      <c r="A15" s="99" t="s">
        <v>68</v>
      </c>
      <c r="B15" s="107" t="s">
        <v>439</v>
      </c>
      <c r="C15" s="100">
        <v>600</v>
      </c>
    </row>
    <row r="16" spans="1:3" ht="19.5" customHeight="1">
      <c r="A16" s="99" t="s">
        <v>70</v>
      </c>
      <c r="B16" s="107" t="s">
        <v>440</v>
      </c>
      <c r="C16" s="100">
        <v>22900</v>
      </c>
    </row>
    <row r="17" spans="1:3" ht="19.5" customHeight="1">
      <c r="A17" s="99" t="s">
        <v>71</v>
      </c>
      <c r="B17" s="107" t="s">
        <v>441</v>
      </c>
      <c r="C17" s="168">
        <v>8100</v>
      </c>
    </row>
    <row r="18" spans="1:3" ht="19.5" customHeight="1">
      <c r="A18" s="99" t="s">
        <v>72</v>
      </c>
      <c r="B18" s="107" t="s">
        <v>442</v>
      </c>
      <c r="C18" s="168">
        <v>24000</v>
      </c>
    </row>
    <row r="19" spans="1:3" ht="19.5" customHeight="1">
      <c r="A19" s="99" t="s">
        <v>73</v>
      </c>
      <c r="B19" s="107" t="s">
        <v>443</v>
      </c>
      <c r="C19" s="168">
        <v>9200</v>
      </c>
    </row>
    <row r="20" spans="1:3" ht="19.5" customHeight="1">
      <c r="A20" s="99" t="s">
        <v>74</v>
      </c>
      <c r="B20" s="169" t="s">
        <v>444</v>
      </c>
      <c r="C20" s="168">
        <v>3900</v>
      </c>
    </row>
    <row r="21" spans="1:3" ht="19.5" customHeight="1">
      <c r="A21" s="99" t="s">
        <v>75</v>
      </c>
      <c r="B21" s="102" t="s">
        <v>445</v>
      </c>
      <c r="C21" s="168">
        <v>9400</v>
      </c>
    </row>
    <row r="22" spans="1:3" ht="19.5" customHeight="1">
      <c r="A22" s="99" t="s">
        <v>76</v>
      </c>
      <c r="B22" s="107" t="s">
        <v>446</v>
      </c>
      <c r="C22" s="168">
        <v>15700</v>
      </c>
    </row>
    <row r="23" spans="1:3" ht="19.5" customHeight="1">
      <c r="A23" s="99" t="s">
        <v>77</v>
      </c>
      <c r="B23" s="107" t="s">
        <v>447</v>
      </c>
      <c r="C23" s="168">
        <v>422900</v>
      </c>
    </row>
    <row r="24" spans="1:3" ht="19.5" customHeight="1">
      <c r="A24" s="99" t="s">
        <v>78</v>
      </c>
      <c r="B24" s="107" t="s">
        <v>448</v>
      </c>
      <c r="C24" s="100">
        <f>174300+75</f>
        <v>174375</v>
      </c>
    </row>
    <row r="25" spans="1:3" ht="19.5" customHeight="1">
      <c r="A25" s="99" t="s">
        <v>79</v>
      </c>
      <c r="B25" s="107" t="s">
        <v>449</v>
      </c>
      <c r="C25" s="100">
        <v>257000</v>
      </c>
    </row>
    <row r="26" spans="1:3" ht="33" customHeight="1">
      <c r="A26" s="99" t="s">
        <v>450</v>
      </c>
      <c r="B26" s="107" t="s">
        <v>522</v>
      </c>
      <c r="C26" s="100">
        <v>1003</v>
      </c>
    </row>
    <row r="27" spans="1:3" ht="19.5" customHeight="1">
      <c r="A27" s="99" t="s">
        <v>80</v>
      </c>
      <c r="B27" s="101" t="s">
        <v>451</v>
      </c>
      <c r="C27" s="100">
        <v>75000</v>
      </c>
    </row>
    <row r="28" spans="1:3" ht="19.5" customHeight="1">
      <c r="A28" s="99" t="s">
        <v>116</v>
      </c>
      <c r="B28" s="101" t="s">
        <v>452</v>
      </c>
      <c r="C28" s="100">
        <v>41000</v>
      </c>
    </row>
    <row r="29" spans="1:3" ht="19.5" customHeight="1">
      <c r="A29" s="99" t="s">
        <v>117</v>
      </c>
      <c r="B29" s="107" t="s">
        <v>453</v>
      </c>
      <c r="C29" s="102">
        <f>168100-20100</f>
        <v>148000</v>
      </c>
    </row>
    <row r="30" spans="1:3" ht="19.5" customHeight="1">
      <c r="A30" s="99" t="s">
        <v>118</v>
      </c>
      <c r="B30" s="107" t="s">
        <v>454</v>
      </c>
      <c r="C30" s="100">
        <f>39800+5200</f>
        <v>45000</v>
      </c>
    </row>
    <row r="31" spans="1:3" ht="19.5" customHeight="1">
      <c r="A31" s="99" t="s">
        <v>119</v>
      </c>
      <c r="B31" s="107" t="s">
        <v>455</v>
      </c>
      <c r="C31" s="100">
        <v>12200</v>
      </c>
    </row>
    <row r="32" spans="1:3" ht="19.5" customHeight="1">
      <c r="A32" s="99" t="s">
        <v>120</v>
      </c>
      <c r="B32" s="107" t="s">
        <v>456</v>
      </c>
      <c r="C32" s="102">
        <f>326300-28700</f>
        <v>297600</v>
      </c>
    </row>
    <row r="33" spans="1:3" ht="32.25" customHeight="1">
      <c r="A33" s="99" t="s">
        <v>162</v>
      </c>
      <c r="B33" s="108" t="s">
        <v>457</v>
      </c>
      <c r="C33" s="103">
        <v>184900</v>
      </c>
    </row>
    <row r="34" spans="1:3" s="121" customFormat="1" ht="22.5" customHeight="1">
      <c r="A34" s="118" t="s">
        <v>163</v>
      </c>
      <c r="B34" s="119" t="s">
        <v>458</v>
      </c>
      <c r="C34" s="120">
        <f>367000-8000</f>
        <v>359000</v>
      </c>
    </row>
    <row r="35" spans="1:3" ht="31.5" customHeight="1">
      <c r="A35" s="99" t="s">
        <v>460</v>
      </c>
      <c r="B35" s="107" t="s">
        <v>459</v>
      </c>
      <c r="C35" s="102">
        <v>400</v>
      </c>
    </row>
    <row r="36" spans="1:3" ht="20.25" customHeight="1">
      <c r="A36" s="99" t="s">
        <v>523</v>
      </c>
      <c r="B36" s="107" t="s">
        <v>461</v>
      </c>
      <c r="C36" s="102">
        <f>300</f>
        <v>300</v>
      </c>
    </row>
    <row r="37" spans="1:3" ht="48" customHeight="1">
      <c r="A37" s="99" t="s">
        <v>167</v>
      </c>
      <c r="B37" s="107" t="s">
        <v>462</v>
      </c>
      <c r="C37" s="102">
        <v>1143</v>
      </c>
    </row>
    <row r="38" spans="1:3" ht="23.25" customHeight="1">
      <c r="A38" s="99" t="s">
        <v>168</v>
      </c>
      <c r="B38" s="107" t="s">
        <v>525</v>
      </c>
      <c r="C38" s="102">
        <v>8840</v>
      </c>
    </row>
    <row r="39" spans="1:3" s="15" customFormat="1" ht="15.75">
      <c r="A39" s="109"/>
      <c r="B39" s="104" t="s">
        <v>463</v>
      </c>
      <c r="C39" s="105">
        <f>SUM(C14:C38)</f>
        <v>2122861</v>
      </c>
    </row>
    <row r="40" spans="1:3" s="15" customFormat="1" ht="15">
      <c r="A40" s="36"/>
      <c r="B40" s="14" t="s">
        <v>464</v>
      </c>
      <c r="C40" s="14"/>
    </row>
    <row r="41" spans="1:2" s="15" customFormat="1" ht="15">
      <c r="A41" s="36"/>
      <c r="B41" s="14"/>
    </row>
    <row r="42" s="14" customFormat="1" ht="15">
      <c r="A42" s="36"/>
    </row>
    <row r="43" s="14" customFormat="1" ht="15">
      <c r="A43" s="36"/>
    </row>
    <row r="44" s="14" customFormat="1" ht="15">
      <c r="A44" s="36"/>
    </row>
    <row r="45" s="14" customFormat="1" ht="15">
      <c r="A45" s="36"/>
    </row>
    <row r="46" s="3" customFormat="1" ht="15.75">
      <c r="A46" s="25"/>
    </row>
    <row r="47" s="4" customFormat="1" ht="15.75">
      <c r="A47" s="25"/>
    </row>
    <row r="48" s="4" customFormat="1" ht="15.75">
      <c r="A48" s="25"/>
    </row>
    <row r="49" spans="1:2" s="3" customFormat="1" ht="15.75">
      <c r="A49" s="25"/>
      <c r="B49" s="37"/>
    </row>
    <row r="50" spans="1:2" s="4" customFormat="1" ht="15.75">
      <c r="A50" s="25"/>
      <c r="B50" s="38"/>
    </row>
    <row r="51" s="4" customFormat="1" ht="15.75">
      <c r="A51" s="25"/>
    </row>
    <row r="52" s="4" customFormat="1" ht="15.75">
      <c r="A52" s="25"/>
    </row>
    <row r="53" s="4" customFormat="1" ht="15.75">
      <c r="A53" s="25"/>
    </row>
    <row r="54" s="4" customFormat="1" ht="15.75">
      <c r="A54" s="25"/>
    </row>
    <row r="55" s="4" customFormat="1" ht="15.75">
      <c r="A55" s="25"/>
    </row>
    <row r="56" s="4" customFormat="1" ht="15.75">
      <c r="A56" s="25"/>
    </row>
    <row r="57" spans="1:2" s="40" customFormat="1" ht="15.75">
      <c r="A57" s="39"/>
      <c r="B57" s="4"/>
    </row>
    <row r="58" s="40" customFormat="1" ht="15">
      <c r="A58" s="39"/>
    </row>
    <row r="59" s="40" customFormat="1" ht="15">
      <c r="A59" s="39"/>
    </row>
  </sheetData>
  <sheetProtection/>
  <mergeCells count="7">
    <mergeCell ref="A12:A13"/>
    <mergeCell ref="B12:B13"/>
    <mergeCell ref="C12:C13"/>
    <mergeCell ref="B1:C1"/>
    <mergeCell ref="B2:C2"/>
    <mergeCell ref="A8:C8"/>
    <mergeCell ref="A9:C9"/>
  </mergeCells>
  <printOptions/>
  <pageMargins left="0.7086614173228347" right="0" top="0.59055118110236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Audrone Stoskiene</cp:lastModifiedBy>
  <cp:lastPrinted>2018-12-10T12:13:27Z</cp:lastPrinted>
  <dcterms:created xsi:type="dcterms:W3CDTF">2001-01-28T19:21:19Z</dcterms:created>
  <dcterms:modified xsi:type="dcterms:W3CDTF">2018-12-13T08:31:54Z</dcterms:modified>
  <cp:category/>
  <cp:version/>
  <cp:contentType/>
  <cp:contentStatus/>
</cp:coreProperties>
</file>