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155" windowHeight="9525" activeTab="2"/>
  </bookViews>
  <sheets>
    <sheet name="1 priedas" sheetId="1" r:id="rId1"/>
    <sheet name="2 priedas" sheetId="2" r:id="rId2"/>
    <sheet name="3 priedas" sheetId="3" r:id="rId3"/>
    <sheet name="4 priedas" sheetId="4" r:id="rId4"/>
    <sheet name="5 priedas" sheetId="5" r:id="rId5"/>
    <sheet name="6 priedas" sheetId="6" r:id="rId6"/>
  </sheets>
  <definedNames>
    <definedName name="_xlnm.Print_Titles" localSheetId="2">'3 priedas'!$12:$12</definedName>
  </definedNames>
  <calcPr fullCalcOnLoad="1"/>
</workbook>
</file>

<file path=xl/comments3.xml><?xml version="1.0" encoding="utf-8"?>
<comments xmlns="http://schemas.openxmlformats.org/spreadsheetml/2006/main">
  <authors>
    <author>Audrone Stoskiene</author>
    <author>astoskiene</author>
  </authors>
  <commentList>
    <comment ref="D17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160800 savvivalda
83000 tarybos nariai </t>
        </r>
      </text>
    </comment>
    <comment ref="L19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60000 pervedama Jurbarko r. PSPC</t>
        </r>
      </text>
    </comment>
    <comment ref="L99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su likuciu 2018-12-31</t>
        </r>
      </text>
    </comment>
    <comment ref="E122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knygos</t>
        </r>
      </text>
    </comment>
    <comment ref="L130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7000 islaikymas</t>
        </r>
      </text>
    </comment>
    <comment ref="C155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mityba 1500
</t>
        </r>
      </text>
    </comment>
    <comment ref="C157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mityba 60000</t>
        </r>
      </text>
    </comment>
    <comment ref="C161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1700 mityba</t>
        </r>
      </text>
    </comment>
    <comment ref="C164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1300 mityba</t>
        </r>
      </text>
    </comment>
    <comment ref="C167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2000 mityba</t>
        </r>
      </text>
    </comment>
    <comment ref="C170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1500 mityba</t>
        </r>
      </text>
    </comment>
    <comment ref="C173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1300 mityba</t>
        </r>
      </text>
    </comment>
    <comment ref="C176" authorId="1">
      <text>
        <r>
          <rPr>
            <b/>
            <sz val="9"/>
            <rFont val="Tahoma"/>
            <family val="2"/>
          </rPr>
          <t xml:space="preserve">astoskiene:
</t>
        </r>
        <r>
          <rPr>
            <sz val="9"/>
            <rFont val="Tahoma"/>
            <family val="2"/>
          </rPr>
          <t>900 mityba</t>
        </r>
      </text>
    </comment>
    <comment ref="C179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7000 mityba</t>
        </r>
      </text>
    </comment>
    <comment ref="C182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5000 mityba</t>
        </r>
      </text>
    </comment>
    <comment ref="C184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6000 mityba</t>
        </r>
      </text>
    </comment>
    <comment ref="C228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7225 tarybos suteiktos lengvatos
2775 lengvatos pagal pajamas</t>
        </r>
      </text>
    </comment>
    <comment ref="C230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30000 Evangeliku seimos centro projektui finansuoti</t>
        </r>
      </text>
    </comment>
  </commentList>
</comments>
</file>

<file path=xl/sharedStrings.xml><?xml version="1.0" encoding="utf-8"?>
<sst xmlns="http://schemas.openxmlformats.org/spreadsheetml/2006/main" count="771" uniqueCount="602">
  <si>
    <t xml:space="preserve">                            Jurbarko rajono savivaldybės tarybos</t>
  </si>
  <si>
    <t xml:space="preserve">                                       2019 m. vasario 28 d. sprendimo Nr. T2-</t>
  </si>
  <si>
    <t xml:space="preserve">            1 priedas</t>
  </si>
  <si>
    <t>JURBARKO RAJONO SAVIVALDYBĖS 2019 M. BIUDŽETO PAJAMOS</t>
  </si>
  <si>
    <t>Eil. Nr.</t>
  </si>
  <si>
    <t>Pajamų pavadinimas</t>
  </si>
  <si>
    <t>Lėšos (Eur)</t>
  </si>
  <si>
    <t>1.</t>
  </si>
  <si>
    <t>Mokesčiai, pajamos ir rinkliavos, nurodyti 2019 metų valstybės biudžeto ir savivaldybių biudžetų finansinių rodiklių patvirtinimo įstatyme, iš jų:</t>
  </si>
  <si>
    <t>1.1.</t>
  </si>
  <si>
    <t xml:space="preserve">Gyventojų pajamų mokestis, tenkantis savivaldybės biudžetui </t>
  </si>
  <si>
    <t>1.2.</t>
  </si>
  <si>
    <t>Žemės mokestis</t>
  </si>
  <si>
    <t>1.3.</t>
  </si>
  <si>
    <t>Nekilnojamojo turto mokestis</t>
  </si>
  <si>
    <t>1.4.</t>
  </si>
  <si>
    <t>Paveldimo turto mokestis</t>
  </si>
  <si>
    <t>1.5.</t>
  </si>
  <si>
    <t>Dividendai</t>
  </si>
  <si>
    <t>1.6.</t>
  </si>
  <si>
    <t>Nuomos mokestis už valstybinę žemę ir valstybinio vidaus vandenų fondo vandens telkinius</t>
  </si>
  <si>
    <t>1.7.</t>
  </si>
  <si>
    <t>Valstybės rinkliavos</t>
  </si>
  <si>
    <t>1.8.</t>
  </si>
  <si>
    <t>Pajamos iš baudų, konfiskuoto turto ir kitų netesybų</t>
  </si>
  <si>
    <t>1.9.</t>
  </si>
  <si>
    <t>Kitos neišvardintos pajamos</t>
  </si>
  <si>
    <t>2.</t>
  </si>
  <si>
    <t>Kitos savivaldybės planuojamos pajamos, iš jų:</t>
  </si>
  <si>
    <t>2.1.</t>
  </si>
  <si>
    <t>Vietinės rinkliavos už buitinių atliekų surinkimą</t>
  </si>
  <si>
    <t>2.2.</t>
  </si>
  <si>
    <t>Kitos vietinės rinkliavos</t>
  </si>
  <si>
    <t>2.3.</t>
  </si>
  <si>
    <t>Materialiojo ir nematerialiojo turto realizavimo pajamos</t>
  </si>
  <si>
    <t>2.4.</t>
  </si>
  <si>
    <t>Mokesčiai už valstybinius gamtos išteklius (medžiojamus)</t>
  </si>
  <si>
    <t>2.5.</t>
  </si>
  <si>
    <t>Mokesčiai už valstybinius gamtos išteklius (išskyrus medžiojamus)</t>
  </si>
  <si>
    <t>2.6.</t>
  </si>
  <si>
    <t>Mokesčiai už aplinkos teršimą</t>
  </si>
  <si>
    <t>2.7.</t>
  </si>
  <si>
    <t>Biudžetinių ir viešųjų įstaigų pajamos už materialiojo turto nuomą</t>
  </si>
  <si>
    <t>2.8.</t>
  </si>
  <si>
    <t>Biudžetinių įstaigų pajamos už prekes ir paslaugas</t>
  </si>
  <si>
    <t>2.9.</t>
  </si>
  <si>
    <t>Biudžetinių įstaigų pajamos už išlaikymą švietimo, socialinės apsaugos ir kitose įstaigose</t>
  </si>
  <si>
    <t>3.</t>
  </si>
  <si>
    <t>Tikslinės paskirties lėšos, iš jų:</t>
  </si>
  <si>
    <t>3.1.</t>
  </si>
  <si>
    <t>Valstybinėms (valstybės perduotoms savivaldybėms) funkcijoms vykdyti</t>
  </si>
  <si>
    <t>3.2.</t>
  </si>
  <si>
    <t>Mokymo lėšoms finansuoti</t>
  </si>
  <si>
    <t>3.3.</t>
  </si>
  <si>
    <t>Lėšos įstaigoms, turinčioms specialiųjų ugdymo poreikių mokinių, finansuoti</t>
  </si>
  <si>
    <t>3.4.</t>
  </si>
  <si>
    <t>Tikslinės lėšos neformaliojo švietimo pedagogams</t>
  </si>
  <si>
    <t>3.5.</t>
  </si>
  <si>
    <t>Tikslinė dotacija vandentvarkos projektui finansuoti</t>
  </si>
  <si>
    <t>3.6.</t>
  </si>
  <si>
    <t>Tikslinės lėšos Jurbarko kultūros centro pastatui modernizuoti</t>
  </si>
  <si>
    <t>3.7.</t>
  </si>
  <si>
    <t>Kompensuojamos Europos Sąjungos finansinės paramos lėšos (neformaliajam vaikų švietimui vykdyti)</t>
  </si>
  <si>
    <t>3.8.</t>
  </si>
  <si>
    <t>Kompensuojamos Europos Sąjungos finansinės paramos lėšos (projektams)</t>
  </si>
  <si>
    <t>4.</t>
  </si>
  <si>
    <t xml:space="preserve">Skolinimosi pajamos </t>
  </si>
  <si>
    <t>5.</t>
  </si>
  <si>
    <t>2018 12 31 biudžeto lėšų likučiai, nukreipiami į savivaldybės biudžetą, iš jų:</t>
  </si>
  <si>
    <t>5.1.</t>
  </si>
  <si>
    <t>Trumpalaikiams įsiskolinimui dengti</t>
  </si>
  <si>
    <t>5.2.</t>
  </si>
  <si>
    <t>Skolintoms lėšoms iš bankų grąžinti</t>
  </si>
  <si>
    <t>5.3.</t>
  </si>
  <si>
    <t>Savivaldybės biudžeto reikmėms finansuoti</t>
  </si>
  <si>
    <t>5.4.</t>
  </si>
  <si>
    <t>Tikslinė dotacija privatiems namams prijungti prie nuotekų infrastruktūros</t>
  </si>
  <si>
    <t>5.5.</t>
  </si>
  <si>
    <t>5.6.</t>
  </si>
  <si>
    <t>Aplinkos apsaugos rėmimo specialiajai programai</t>
  </si>
  <si>
    <t>IŠ VISO PAJAMŲ</t>
  </si>
  <si>
    <t>____________________</t>
  </si>
  <si>
    <t xml:space="preserve">            2 priedas</t>
  </si>
  <si>
    <t>JURBARKO RAJONO SAVIVALDYBĖS 2019 M. BIUDŽETO IŠLAIDOS PAGAL PROGRAMAS</t>
  </si>
  <si>
    <t>Išlaidų pagal parengtas programas pavadinimas</t>
  </si>
  <si>
    <t>Išlaidos pagal parengtas programas iš viso, iš jų:</t>
  </si>
  <si>
    <t>bendrosioms funkcijoms vykdyti</t>
  </si>
  <si>
    <t>kaimo plėtrai</t>
  </si>
  <si>
    <t>smulkiajam, vidutiniam verslui ir turizmui skatinti</t>
  </si>
  <si>
    <t>infrastruktūros objektų priežiūrai, modernizavimui ir plėtrai</t>
  </si>
  <si>
    <t>sveikatos ir aplinkos apsaugai</t>
  </si>
  <si>
    <t>kultūros ir sporto veiklų plėtrai</t>
  </si>
  <si>
    <t>vaikų, jaunimo ir suaugusiųjų ugdymui</t>
  </si>
  <si>
    <t>socialinės paramos plėtrai, socialinei atskirčiai mažinti</t>
  </si>
  <si>
    <t>Savivaldybės biudžeto lėšos, iš jų:</t>
  </si>
  <si>
    <t>išlaidoms</t>
  </si>
  <si>
    <t>darbo užmokesčiui mokėti</t>
  </si>
  <si>
    <t>ilgalaikiam turtui kurti, įsigyti</t>
  </si>
  <si>
    <t>lėšos ilgalaikėms paskoloms grąžinti</t>
  </si>
  <si>
    <t>Lėšos valstybinėms (valstybės perduotoms savivaldybėms) funkcijoms vykdyti, iš jų:</t>
  </si>
  <si>
    <t>Valstybės biudžeto lėšos mokymo reikmėms finansuoti, iš jų:</t>
  </si>
  <si>
    <t>4.1.</t>
  </si>
  <si>
    <t>4.2.</t>
  </si>
  <si>
    <t>4.3.</t>
  </si>
  <si>
    <t>Projektams vykdyti iš skolintų lėšų, iš jų:</t>
  </si>
  <si>
    <t>5.1</t>
  </si>
  <si>
    <t>6.</t>
  </si>
  <si>
    <t>Kitos tikslinės valstybės biudžeto ir Europos Sąjungos finansinės paramos lėšos iš jų:</t>
  </si>
  <si>
    <t>6.1.</t>
  </si>
  <si>
    <t>6.2.</t>
  </si>
  <si>
    <t>6.3.</t>
  </si>
  <si>
    <t>7.</t>
  </si>
  <si>
    <t>Pajamų už teikiamas paslaugas (su aplinkos apsaugos rėmimo specialiąja programa ir vietine rinkliava už buitinių atliekų šalinimą) išlaidos, iš jų:</t>
  </si>
  <si>
    <t>7.1.</t>
  </si>
  <si>
    <t>7.2.</t>
  </si>
  <si>
    <t>7.3.</t>
  </si>
  <si>
    <t xml:space="preserve">_________________________                                     </t>
  </si>
  <si>
    <t>Jurbarko rajono savivaldybės tarybos</t>
  </si>
  <si>
    <t>2019 m. vasario 28 d. sprendimo Nr. T2-</t>
  </si>
  <si>
    <t>3 priedas</t>
  </si>
  <si>
    <t>JURBARKO RAJONO SAVIVALDYBĖS 2019 METŲ BIUDŽETAS</t>
  </si>
  <si>
    <t>(eurai)</t>
  </si>
  <si>
    <t xml:space="preserve">Eil. Nr.  </t>
  </si>
  <si>
    <t>Asignavimų valdytojų/ programų vykdytojų pavadinimai</t>
  </si>
  <si>
    <t>Savivaldybės biudžeto lėšos</t>
  </si>
  <si>
    <t>Lėšos valstybinėms (perduotoms) savivaldybėms funkcijoms vykdyti / kitos tikslinės lėšos</t>
  </si>
  <si>
    <t>Mokymo reikmių lėšos</t>
  </si>
  <si>
    <t>Įstaigų pajamų už teikiamas paslaugas lėšos / vietinė rinkliava už buitinių atliekų šalinimą</t>
  </si>
  <si>
    <t>IŠ VISO</t>
  </si>
  <si>
    <t>Iš viso</t>
  </si>
  <si>
    <t>iš jų:</t>
  </si>
  <si>
    <t>darbo už-mokesčio fondui</t>
  </si>
  <si>
    <t>BENDRŲJŲ FUNKCIJŲ VYKDYMO PROGRAMA (atsakingas už programos vykdymą – Finansų skyriaus vedėjas)</t>
  </si>
  <si>
    <t>PROGRAMAI SKIRIAMA SUMA:</t>
  </si>
  <si>
    <t>Savivaldybės kontrolės ir audito tarnybai</t>
  </si>
  <si>
    <t>Rajono savivaldybės administracijai, iš jų:</t>
  </si>
  <si>
    <t>savivaldos institucijoms finansuoti</t>
  </si>
  <si>
    <t>savivaldybės mero fondui</t>
  </si>
  <si>
    <t>savivaldybės administracijai bendrosioms paslaugoms finansuoti</t>
  </si>
  <si>
    <t>mobilizacijos funkcijai administruoti</t>
  </si>
  <si>
    <t>civilinei saugai administruoti</t>
  </si>
  <si>
    <t>žemės ūkio funkcijai vykdyti</t>
  </si>
  <si>
    <t>socialinei paramai mokiniams administruoti</t>
  </si>
  <si>
    <t>socialinėms paslaugoms asmenims su sunkia negalia administruoti</t>
  </si>
  <si>
    <t xml:space="preserve">socialinei paramai administruoti </t>
  </si>
  <si>
    <t>2.10.</t>
  </si>
  <si>
    <t>jaunimo teisių apsaugai</t>
  </si>
  <si>
    <t>2.11.</t>
  </si>
  <si>
    <t>Eržvilko seniūnijai bendrosioms paslaugoms</t>
  </si>
  <si>
    <t>2.12.</t>
  </si>
  <si>
    <t xml:space="preserve">Girdžių seniūnijai bendrosioms paslaugoms </t>
  </si>
  <si>
    <t>2.13.</t>
  </si>
  <si>
    <t xml:space="preserve">Juodaičių seniūnijai bendrosioms paslaugoms </t>
  </si>
  <si>
    <t>2.14.</t>
  </si>
  <si>
    <t xml:space="preserve">Jurbarkų seniūnijai bendrosioms paslaugoms </t>
  </si>
  <si>
    <t>2.15.</t>
  </si>
  <si>
    <t xml:space="preserve">Raudonės seniūnijai bendrosioms paslaugoms </t>
  </si>
  <si>
    <t>2.16.</t>
  </si>
  <si>
    <t xml:space="preserve">Seredžiaus seniūnijai bendrosioms paslaugoms </t>
  </si>
  <si>
    <t>2.17.</t>
  </si>
  <si>
    <t xml:space="preserve">Skirsnemunės seniūnijai bendrosioms paslaugoms </t>
  </si>
  <si>
    <t>2.18.</t>
  </si>
  <si>
    <t xml:space="preserve">Smalininkų seniūnijai bendrosioms paslaugoms </t>
  </si>
  <si>
    <t>2.19.</t>
  </si>
  <si>
    <t xml:space="preserve">Šimkaičių seniūnijai bendrosioms paslaugoms </t>
  </si>
  <si>
    <t>2.20.</t>
  </si>
  <si>
    <t xml:space="preserve">Veliuonos seniūnijai bendrosioms paslaugoms </t>
  </si>
  <si>
    <t>2.21.</t>
  </si>
  <si>
    <t xml:space="preserve">Viešvilės seniūnijai bendrosioms paslaugoms </t>
  </si>
  <si>
    <t>2.22.</t>
  </si>
  <si>
    <t xml:space="preserve">Jurbarko miesto seniūnijai bendrosioms paslaugoms </t>
  </si>
  <si>
    <t>2.23.</t>
  </si>
  <si>
    <t>Savivaldybės administracijos ir seniūnijų remonto, ilgalaikio turto įsigijimo išlaidoms</t>
  </si>
  <si>
    <t>Rajono savivaldybės administracijos Finansų skyriui, iš jų:</t>
  </si>
  <si>
    <t>palūkanoms ir kitiems bankų  mokėjimams tvarkyti</t>
  </si>
  <si>
    <t>reprezentaciniams leidiniams, suvenyrams įsigyti</t>
  </si>
  <si>
    <t>direktoriaus rezervui tvarkyti</t>
  </si>
  <si>
    <t>projektų paraiškoms rengti, konsultavimo ir projektų ekspertizių paslaugoms, nekompensuojamoms, bet būtinoms projektų išlaidoms finansuoti, bendrojo finansavimo lėšoms</t>
  </si>
  <si>
    <t>KAIMO PLĖTROS PROGRAMA (atsakingas už programos vykdymą – Žemės ūkio skyriaus vedėjas)</t>
  </si>
  <si>
    <t>melioracijos išlaidoms finansuoti</t>
  </si>
  <si>
    <t>kaimo plėtrai ir ūkininkams remti</t>
  </si>
  <si>
    <t>VVG „Nemunas“ atrinktiems  projektams remti</t>
  </si>
  <si>
    <t>SMULKAUS, VIDUTINIO VERSLO IR TURIZMO SKATINIMO PROGRAMA (atsakingas už programos vykdymą – Investicijų ir strateginio planavimo skyriaus vedėjas)</t>
  </si>
  <si>
    <t>Turizmo ir verslo informacijos centro veiklos plėtrai</t>
  </si>
  <si>
    <t>smulkiam ir vidutiniam verslui skatinti</t>
  </si>
  <si>
    <t>MVVG „Jurbarkas“ atrinktiems  projektams remti</t>
  </si>
  <si>
    <t>6.4.</t>
  </si>
  <si>
    <t>projektui „Panemunės pilies parko tvarkymas ir pritaikymas lankymui“ finansuoti</t>
  </si>
  <si>
    <t>6.5.</t>
  </si>
  <si>
    <t>projektui „Raudonės (rezidencinės) pilies parko tvarkymas ir pritaikymas lankymui“ finansuoti</t>
  </si>
  <si>
    <t>6.6.</t>
  </si>
  <si>
    <t>projektui „Savivaldybes jungiančių turizmo trasų ir turizmo maršrutų infrastruktūros plėtra Jurbarko regione“ finansuoti</t>
  </si>
  <si>
    <t>6.7.</t>
  </si>
  <si>
    <t>projektui „Nemuno kelias“ finansuoti</t>
  </si>
  <si>
    <t>INFRASTRUKTŪROS OBJEKTŲ PRIEŽIŪROS, MODERNIZAVIMO IR PLĖTROS PROGRAMA (atsakingas už programos vykdymą – Infrastruktūros ir turto skyriaus vedėjas)</t>
  </si>
  <si>
    <t>žemės sklypų formavimo ir infrastruktūros objektų projektams, kadastriniams matavimams ir kitiems teritorijų planavimo dokumentams rengti</t>
  </si>
  <si>
    <t>smulkiems infrastruktūros objektams įrengti, remontuoti, prižiūrėti</t>
  </si>
  <si>
    <t>bendrojo naudojimo infrastruktūros objektams prižiūrėti (daugiabučių namų kiemai, automobilių stovėjimo aikštelės ir pan.)</t>
  </si>
  <si>
    <t>7.4.</t>
  </si>
  <si>
    <t>investicijoms į šilumos ūkio modernizavimą Viešvilėje grąžinti (2019 m. dalis)</t>
  </si>
  <si>
    <t>7.5.</t>
  </si>
  <si>
    <t>savivaldybės turtui vertinti, kadastrinių matavimų byloms rengti ir nuosavybės teisės įteisinti</t>
  </si>
  <si>
    <t>7.6.</t>
  </si>
  <si>
    <t>keleivių vežiojimo ekonomiškai nenaudingais vietinio susisiekimo maršrutais subsidijoms, viešojo tualeto eksploatacijos nuostoliams dengti</t>
  </si>
  <si>
    <t>7.7.</t>
  </si>
  <si>
    <t>eismo saugumo priemonėms diegti</t>
  </si>
  <si>
    <t>7.8.</t>
  </si>
  <si>
    <t>daugiabučių namų savininkų bendrijoms remti</t>
  </si>
  <si>
    <t>7.9.</t>
  </si>
  <si>
    <t>gatvių apšvietimo infrastruktūros priežiūrai ir plėtrai Jurbarko mieste ir rajone</t>
  </si>
  <si>
    <t>7.10.</t>
  </si>
  <si>
    <t>Jurbarko A. Giedraičio-Giedriaus ir Nemuno gatvėms rekonstruoti būtinoms, bet projekto nekompensuojamoms išlaidoms dengti</t>
  </si>
  <si>
    <t>7.11.</t>
  </si>
  <si>
    <t>bešeimininkiams apleistiems pastatams tvarkyti</t>
  </si>
  <si>
    <t>7.12.</t>
  </si>
  <si>
    <t>projekto, numatančio privačių namų prijungimą prie nuotekų surinkimo infrastruktūros, bendrajam finansavimui</t>
  </si>
  <si>
    <t>7.13.</t>
  </si>
  <si>
    <t>projektui „Vandens tiekimo ir nuotekų tvarkymo infrastruktūros plėtra Jurbarko rajone“ finansuoti</t>
  </si>
  <si>
    <t>7.14.</t>
  </si>
  <si>
    <t>projektui „A. Giedaričio-Giedriaus gatvės rekonstravimas Jurbarko mieste“ finansuoti</t>
  </si>
  <si>
    <t>7.15.</t>
  </si>
  <si>
    <t>projektui „Vandens gerinimo įrenginių ir vandens gręžinių įrengimas Paskynų, Graužėnų ir Klangių kaimuose“</t>
  </si>
  <si>
    <t>7.16.</t>
  </si>
  <si>
    <t>projektui „Vandens gerinimo įrenginių ir vandens gręžinių įrengimas Griaužų kaime ir vandens tiekimo tinklų įrengimas Stakių miestelyje“</t>
  </si>
  <si>
    <t>7.17.</t>
  </si>
  <si>
    <t>miesto stebėjimo vaizdo kameromis paslaugoms</t>
  </si>
  <si>
    <t>7.18.</t>
  </si>
  <si>
    <t>sanitarinėms patalpoms įrengti viešosiose vietose</t>
  </si>
  <si>
    <t>8.</t>
  </si>
  <si>
    <t>Seniūnijų viešojo naudojimo teritorijų, kapinių, gatvių ir kelių priežiūros bei kitiems darbams, iš jų:</t>
  </si>
  <si>
    <t>8.1.</t>
  </si>
  <si>
    <t>Eržvilko seniūnijai</t>
  </si>
  <si>
    <t>8.2.</t>
  </si>
  <si>
    <t>Girdžių seniūnijai</t>
  </si>
  <si>
    <t>8.3.</t>
  </si>
  <si>
    <t>Juodaičių seniūnijai</t>
  </si>
  <si>
    <t>8.4.</t>
  </si>
  <si>
    <t>Jurbarkų seniūnijai</t>
  </si>
  <si>
    <t>8.5.</t>
  </si>
  <si>
    <t>Raudonės seniūnijai</t>
  </si>
  <si>
    <t>8.6.</t>
  </si>
  <si>
    <t>Seredžiaus seniūnijai</t>
  </si>
  <si>
    <t>8.7.</t>
  </si>
  <si>
    <t>Skirsnemunės seniūnijai</t>
  </si>
  <si>
    <t>8.8.</t>
  </si>
  <si>
    <t>Smalininkų seniūnijai</t>
  </si>
  <si>
    <t>8.9.</t>
  </si>
  <si>
    <t>Šimkaičių seniūnijai</t>
  </si>
  <si>
    <t>8.10.</t>
  </si>
  <si>
    <t>Veliuonos seniūnijai</t>
  </si>
  <si>
    <t>8.11.</t>
  </si>
  <si>
    <t>Viešvilės seniūnijai</t>
  </si>
  <si>
    <t>8.12.</t>
  </si>
  <si>
    <t>Jurbarko miesto seniūnijai (UAB „Jurbarko komunalininkas“ atliekamiems darbams)</t>
  </si>
  <si>
    <t>9.</t>
  </si>
  <si>
    <t xml:space="preserve">Jurbarko rajono priešgaisrinei tarnybai </t>
  </si>
  <si>
    <t>SVEIKATOS IR APLINKOS APSAUGOS PROGRAMA (atsakingas už programos vykdymą – vyriausiasis specialistas (savivaldybės gydytojas))</t>
  </si>
  <si>
    <t>10.</t>
  </si>
  <si>
    <t>Rajono savivaldybės administracijai (aplinkos apsaugos specialiajai programai), iš jų:</t>
  </si>
  <si>
    <t>10.1.</t>
  </si>
  <si>
    <t>aplinkai ir žmogaus sveikatai pavojingiems želdynams šalinti</t>
  </si>
  <si>
    <t>10.2.</t>
  </si>
  <si>
    <t>praeityje užterštoms teritorijoms tvarkyti, kitoms aplinkos teršimo mažinimo priemonėms</t>
  </si>
  <si>
    <t>10.3.</t>
  </si>
  <si>
    <t>ekologinio švietimo ir informavimo priemonėms</t>
  </si>
  <si>
    <t>10.4.</t>
  </si>
  <si>
    <t>medžiojamų gyvūnų daromos žalos prevencinėms priemonėms vykdyti</t>
  </si>
  <si>
    <t>10.5.</t>
  </si>
  <si>
    <t>visuomenės sveikatinimo programoms</t>
  </si>
  <si>
    <t>11.</t>
  </si>
  <si>
    <t>11.1.</t>
  </si>
  <si>
    <t>pacientų aptarnavimo kokybei gerinti kaimo vietovių  pirminės sveikatos priežiūros įstaigose</t>
  </si>
  <si>
    <t>11.2.</t>
  </si>
  <si>
    <t>pacientų aptarnavimo kokybei gerinti VšĮ Jurbarko ligoninėje (medicininei aparatūrai, vaikų ligų skyriui iš dalies finansuoti, lauko ir vidaus vandentiekio tinklams remontuoti)</t>
  </si>
  <si>
    <t>11.3.</t>
  </si>
  <si>
    <t>teismo medicinos ekspertizės patalpoms remontuoti (dalinis finansavimas)</t>
  </si>
  <si>
    <t>11.4.</t>
  </si>
  <si>
    <t>neveiksnių asmenų būklei peržiūrėti</t>
  </si>
  <si>
    <t>11.5.</t>
  </si>
  <si>
    <t>Tauragės regiono atliekų tvarkymo sistemai kurti (projekto bendrajam finansavimui vykdyti)</t>
  </si>
  <si>
    <t>11.6.</t>
  </si>
  <si>
    <t>buitinių atliekų šalinimo išlaidoms finansuoti</t>
  </si>
  <si>
    <t>12.</t>
  </si>
  <si>
    <t>Rajono savivaldybės administracijos Finansų skyriui, nuompinigių grąžinimas, iš jų:</t>
  </si>
  <si>
    <t>12.1.</t>
  </si>
  <si>
    <t>VšĮ Jurbarko ligoninei</t>
  </si>
  <si>
    <t>12.2.</t>
  </si>
  <si>
    <t>VšĮ Jurbarko rajono PSPC</t>
  </si>
  <si>
    <t>12.3.</t>
  </si>
  <si>
    <t>VšĮ Eržvilko PSPC</t>
  </si>
  <si>
    <t xml:space="preserve">13. </t>
  </si>
  <si>
    <t>Jurbarko rajono savivaldybės visuomenės sveikatos biurui</t>
  </si>
  <si>
    <t>13.1.</t>
  </si>
  <si>
    <t>mokinių visuomenės sveikatos priežiūrai ugdymo įstaigose organizuoti</t>
  </si>
  <si>
    <t>13.2.</t>
  </si>
  <si>
    <t>visuomenės sveikatos stiprinimui ir stebėsenai</t>
  </si>
  <si>
    <t>13.3.</t>
  </si>
  <si>
    <t>savižudybių prevencinėms programoms</t>
  </si>
  <si>
    <t>KULTŪROS IR SPORTO VEIKLŲ PLĖTROS PROGRAMA (atsakingas už programos vykdymą – Švietimo, kultūros ir sporto skyriaus vedėjas)</t>
  </si>
  <si>
    <t>14.</t>
  </si>
  <si>
    <t>Jurbarko rajono viešajai bibliotekai</t>
  </si>
  <si>
    <t>15.</t>
  </si>
  <si>
    <t>Jurbarko krašto muziejui</t>
  </si>
  <si>
    <t>16.</t>
  </si>
  <si>
    <t>Jurbarko kultūros centrui</t>
  </si>
  <si>
    <t>17.</t>
  </si>
  <si>
    <t>Eržvilko kultūros centrui</t>
  </si>
  <si>
    <t>18.</t>
  </si>
  <si>
    <t>Klausučių kultūros centrui</t>
  </si>
  <si>
    <t>19.</t>
  </si>
  <si>
    <t>Mažosios Lietuvos Jurbarko krašto kultūros centrui</t>
  </si>
  <si>
    <t>20.</t>
  </si>
  <si>
    <t>Veliuonos kultūros centrui</t>
  </si>
  <si>
    <t>21.</t>
  </si>
  <si>
    <t>Kūno kultūros ir sporto centrui, iš jų:</t>
  </si>
  <si>
    <t>21.1.</t>
  </si>
  <si>
    <t>Kūno kultūros ir sporto centro veiklai</t>
  </si>
  <si>
    <t>21.2.</t>
  </si>
  <si>
    <t>suaugusiųjų ir jaunimo sportui aktyvinti, iš jų prioritetas – Jurbarko krepšinio komandos dalyvavimas regionų krepšinio lygoje (6000 Eur)</t>
  </si>
  <si>
    <t>21.3.</t>
  </si>
  <si>
    <t>moksleivių sportui aktyvinti</t>
  </si>
  <si>
    <t>22.</t>
  </si>
  <si>
    <t>Rajono savivaldybės administracijai, iš jų</t>
  </si>
  <si>
    <t>22.1.</t>
  </si>
  <si>
    <t>viešosios įstaigos „Senovinės technikos muziejus“ veiklai finansuoti</t>
  </si>
  <si>
    <t>22.2.</t>
  </si>
  <si>
    <t>projektui „Jurbarko kultūros centro pastatui modernizuoti ir pritaikyti bendruomenės poreikiams“ finansuoti</t>
  </si>
  <si>
    <t>22.3.</t>
  </si>
  <si>
    <t>programoms, skirtoms etninės kultūros sklaidai, vykdyti</t>
  </si>
  <si>
    <t>22.4.</t>
  </si>
  <si>
    <t>nekilnojamųjų kultūros vertybių apskaitai, kultūros paveldo objektų tvarkybai, renginiams</t>
  </si>
  <si>
    <t>22.5.</t>
  </si>
  <si>
    <t>religinėms bendruomenėms remti</t>
  </si>
  <si>
    <t>22.6.</t>
  </si>
  <si>
    <t>nevyriausybinėms organizacijoms remti</t>
  </si>
  <si>
    <t>22.7.</t>
  </si>
  <si>
    <t>seniūnijose organizuojamiems renginiams</t>
  </si>
  <si>
    <t>22.8.</t>
  </si>
  <si>
    <t>savivaldybės biudžete nenumatytoms išlaidoms finansuoti</t>
  </si>
  <si>
    <t>22.9.</t>
  </si>
  <si>
    <t>sporto klubų veiklos programoms iš dalies finansuoti</t>
  </si>
  <si>
    <t>22.10.</t>
  </si>
  <si>
    <t>aukštų rezultatų pasiekusiems sportininkams, treneriams skatinti</t>
  </si>
  <si>
    <t>22.11.</t>
  </si>
  <si>
    <t>aukštų rezultatų pasiekusiems kultūros darbuotojams, kolektyvams skatinti</t>
  </si>
  <si>
    <t>22.12.</t>
  </si>
  <si>
    <t>projektui „Mažosios Lietuvos Jurbarko krašto kultūros centro aktualizavimas“ finansuoti</t>
  </si>
  <si>
    <t>23.</t>
  </si>
  <si>
    <t>23.1.</t>
  </si>
  <si>
    <t>kultūros ir sporto įstaigoms remontuoti, ilgalaikio turto įsigijimo išlaidoms</t>
  </si>
  <si>
    <t>23.2.</t>
  </si>
  <si>
    <t>meno saviveiklos kolektyvų koncertinėms užsienio kelionėms miestų-partnerių ir įvairių festivalių organizatorių kvietimu</t>
  </si>
  <si>
    <t>23.3.</t>
  </si>
  <si>
    <t>kultūrinės veiklos programoms ir renginiams</t>
  </si>
  <si>
    <t>VAIKŲ, JAUNIMO IR SUAUGUSIŲJŲ UGDYMO PROGRAMA (atsakingas už programos vykdymą – Švietimo, kultūros ir sporto skyriaus vedėjas)</t>
  </si>
  <si>
    <t>24.</t>
  </si>
  <si>
    <t>Jurbarko Antano Giedraičio-Giedriaus gimnazijai</t>
  </si>
  <si>
    <t>25.</t>
  </si>
  <si>
    <t>Jurbarko rajono Eržvilko gimnazijai</t>
  </si>
  <si>
    <t>26.</t>
  </si>
  <si>
    <t>Jurbarko r. Veliuonos Antano ir Jono Juškų gimnazijai, iš jų:</t>
  </si>
  <si>
    <t>26.1.</t>
  </si>
  <si>
    <t>darželiui</t>
  </si>
  <si>
    <t>26.2.</t>
  </si>
  <si>
    <t>mokyklai</t>
  </si>
  <si>
    <t>27.</t>
  </si>
  <si>
    <t>Jurbarko Naujamiesčio progimnazijai</t>
  </si>
  <si>
    <t>28.</t>
  </si>
  <si>
    <t>Jurbarko Vytauto Didžiojo progimnazijai</t>
  </si>
  <si>
    <t>29.</t>
  </si>
  <si>
    <t>Jurbarko r. Juodaičių pagrindinei mokyklai</t>
  </si>
  <si>
    <t>30.</t>
  </si>
  <si>
    <t>Jurbarko r. Klausučių Stasio Santvaro pagrindinei mokyklai, iš jų:</t>
  </si>
  <si>
    <t>30.1.</t>
  </si>
  <si>
    <t>30.2.</t>
  </si>
  <si>
    <t>31.</t>
  </si>
  <si>
    <t>Jurbarko r. Seredžiaus Stasio Šimkaus mokyklai-daugiafunkciam centrui</t>
  </si>
  <si>
    <t>31.1.</t>
  </si>
  <si>
    <t>31.2.</t>
  </si>
  <si>
    <t>32.</t>
  </si>
  <si>
    <t>Jurbarko r. Skirsnemunės Jurgio Baltrušaičio pagrindinei mokyklai, iš jų:</t>
  </si>
  <si>
    <t>32.1.</t>
  </si>
  <si>
    <t>32.2.</t>
  </si>
  <si>
    <t>33.</t>
  </si>
  <si>
    <t>Jurbarko r. Smalininkų Lidijos Meškaitytės pagrindinei mokyklai, iš jų:</t>
  </si>
  <si>
    <t>33.1.</t>
  </si>
  <si>
    <t>33.2.</t>
  </si>
  <si>
    <t>34.</t>
  </si>
  <si>
    <t>Jurbarko r. Šimkaičių Jono Žemaičio pagrindinei mokyklai, iš jų:</t>
  </si>
  <si>
    <t>34.1.</t>
  </si>
  <si>
    <t>34.2.</t>
  </si>
  <si>
    <t>35.</t>
  </si>
  <si>
    <t>Jurbarko r. Viešvilės pagrindinei mokyklai, iš jų:</t>
  </si>
  <si>
    <t>35.1.</t>
  </si>
  <si>
    <t>35.2.</t>
  </si>
  <si>
    <t>36.</t>
  </si>
  <si>
    <t>Jurbarko „Ąžuoliuko“ mokyklai, iš jų:</t>
  </si>
  <si>
    <t>36.1.</t>
  </si>
  <si>
    <t>36.2.</t>
  </si>
  <si>
    <t>37.</t>
  </si>
  <si>
    <t>Jurbarko r. Jurbarkų darželiui-mokyklai, iš jų:</t>
  </si>
  <si>
    <t>37.1.</t>
  </si>
  <si>
    <t>37.2.</t>
  </si>
  <si>
    <t>38.</t>
  </si>
  <si>
    <t>Jurbarko vaikų lopšeliui-darželiui „Nykštukas“</t>
  </si>
  <si>
    <t>39.</t>
  </si>
  <si>
    <t>Jurbarko Antano Sodeikos meno mokyklai</t>
  </si>
  <si>
    <t>40.</t>
  </si>
  <si>
    <r>
      <t xml:space="preserve">Jurbarko švietimo centrui </t>
    </r>
    <r>
      <rPr>
        <sz val="11"/>
        <rFont val="Times New Roman"/>
        <family val="1"/>
      </rPr>
      <t>(iš jų 3000 Eur suaugusiųjų švietimo programoms)</t>
    </r>
  </si>
  <si>
    <t>41.</t>
  </si>
  <si>
    <t>41.1.</t>
  </si>
  <si>
    <t>kompensacijoms už lengvatinį mokinių vežimą</t>
  </si>
  <si>
    <t>41.2.</t>
  </si>
  <si>
    <t>jaunimo užimtumui ir integracijai į vietos bendruomenės gyvenimą aktyvinti</t>
  </si>
  <si>
    <t>41.3.</t>
  </si>
  <si>
    <t>mokinių užimtumo, socializacijos, prevencijos ir kitoms programoms finansuoti</t>
  </si>
  <si>
    <t>41.4.</t>
  </si>
  <si>
    <t>neformaliajam vaikų švietimui finansuoti</t>
  </si>
  <si>
    <t>41.5.</t>
  </si>
  <si>
    <t>41.6.</t>
  </si>
  <si>
    <t>projektui „Ikimokyklinio ir priešmokyklinio ugdymo patalpų įrengimas Eržvilko gimnazijoje“ finansuoti</t>
  </si>
  <si>
    <t>41.7.</t>
  </si>
  <si>
    <t>projektui „Ikimokyklinio ir priešmokyklinio ugdymo prieinamumo didinimas Rotulių lopšelyje-darželyje“ finansuoti</t>
  </si>
  <si>
    <t>41.8.</t>
  </si>
  <si>
    <t>nepaskirstytos mokymo lėšos</t>
  </si>
  <si>
    <t>42.</t>
  </si>
  <si>
    <t>42.1.</t>
  </si>
  <si>
    <t>švietimo objektų plėtrai, modernizavimui, iš jų:</t>
  </si>
  <si>
    <t>švietimo įstaigų pastatams remontuoti ir avarinėms situacijoms likviduoti</t>
  </si>
  <si>
    <t>švietimo įstaigų išorinės aplinkos infrastruktūrai sutvarkyti ir edukacinėms erdvėms kurti</t>
  </si>
  <si>
    <t>švietimo įstaigų priešgaisrinės saugos priemonėms diegti, įsigyti</t>
  </si>
  <si>
    <t>švietimo įstaigų higienos priemonėms įsigyti</t>
  </si>
  <si>
    <t>švietimo įstaigų sporto bazėms remontuoti</t>
  </si>
  <si>
    <t>švietimo įstaigų ilgalaikiam turtui įsigyti</t>
  </si>
  <si>
    <t>SOCIALINĖS PARAMOS PLĖTROS, SOCIALINĖS ATSKIRTIES MAŽINIMO PROGRAMA (atsakingas už programos vykdymą – Socialinės paramos skyriaus vedėjas)</t>
  </si>
  <si>
    <t>45.</t>
  </si>
  <si>
    <t>socialinės paramos išmokoms</t>
  </si>
  <si>
    <t>vienkartinei socialinei paramai</t>
  </si>
  <si>
    <t>kompensacijoms už šildymą, kietąjį kurą, šaltą ir karštą vandenį</t>
  </si>
  <si>
    <t>socialinei paramai mirties atveju</t>
  </si>
  <si>
    <t>būsto nuomos, išperkamosios nuomos mokesčių kompensacijoms</t>
  </si>
  <si>
    <t>išlaidoms už įsigytus mokinio reikmenis</t>
  </si>
  <si>
    <t>išlaidoms už įsigytus maisto produktus</t>
  </si>
  <si>
    <t>nemokamo maitinimo patiekalų gamybos išlaidoms</t>
  </si>
  <si>
    <t>socialinės globos paslaugoms teikti asmenims su sunkia negalia</t>
  </si>
  <si>
    <t>atvejo vadybai, seniūnijų socialiniams darbuotojams darbui su šeimomis, patiriančiomis riziką,  išlaikyti</t>
  </si>
  <si>
    <t>pagal teisės aktus savivaldybėms perduotoms įstaigoms išlaikyti</t>
  </si>
  <si>
    <t>ilgalaikei socialinei globai (vaikų ir kitų asmenų apgyvendinimas specializuotose įstaigose)</t>
  </si>
  <si>
    <t>aprūpinti nepasiturinčius rajono gyventojus maisto produktais ir higienos prekėmis iš ES pagalbos labiausiai skurstantiems asmenims fondo</t>
  </si>
  <si>
    <t>laikinoms socialiai remtinų asmenų globos paslaugoms VšĮ Jurbarko ligoninėje</t>
  </si>
  <si>
    <t>pagalba vaikams patekusiems į krizinę situaciją    VšĮ Jurbarko ligoninėje</t>
  </si>
  <si>
    <t>parama vaikus globojančioms šeimoms</t>
  </si>
  <si>
    <t>laikinai negyvenamų, neišnuomotų savivaldybės patalpų, labdaros valgyklos komunalinėms paslaugoms dengti</t>
  </si>
  <si>
    <t>neatpažintų palaikų pervežimo išlaidoms dengti</t>
  </si>
  <si>
    <t>neįgaliųjų būstui pritaikyti jų reikmėms</t>
  </si>
  <si>
    <t>socialinės reabilitacijos paslaugų neįgaliesiems ir socialinės integracijos projektams</t>
  </si>
  <si>
    <t>kompensacijoms už lengvatinį socialiai remtinų asmenų vežimą</t>
  </si>
  <si>
    <t>kompensacijoms už buitinių atliekų šalinimą</t>
  </si>
  <si>
    <t>socialinio būsto fondo plėtrai, būstų įsigijimo išlaidoms</t>
  </si>
  <si>
    <t>socialinių paslaugų šeimoms ir neįgaliesiems plėtrai</t>
  </si>
  <si>
    <t>Dienos socialinės globos paslaugoms asmenims su proto negalia (VšĮ „Jurbarko socialinės paslaugos“)</t>
  </si>
  <si>
    <t>ilgalaikės socialinės globos paslaugoms asmenims su proto negalia (VšĮ „Jurbarko socialinės paslaugos“)</t>
  </si>
  <si>
    <t>pagalbos į namus paslaugoms teikti (VšĮ „Jurbarko socialinės paslaugos“)</t>
  </si>
  <si>
    <t>asmens higienos ir laikino apgyvendinimo nakvynės namuose paslaugoms (VšĮ „Jurbarko socialinės paslaugos“)</t>
  </si>
  <si>
    <t>trumpalaikės ir ilgalaikės socialinės globos paslaugoms (VšĮ „Jurbarko socialinės paslaugos“ Eržvilko filialas)</t>
  </si>
  <si>
    <t>paslaugoms vaikus globojančiai šeimai, globėjams, įtėviams ir besirengiančiais jais tapti asmenims teikti (VšĮ „Jurbarko socialinės paslaugos“)</t>
  </si>
  <si>
    <t>maitinimui  labdaros valgykloje organizuoti (Lietuvos samariečių Jurbarko krašto bendrija)</t>
  </si>
  <si>
    <t>vaikų Dienos centrų paslaugoms (Lietuvos samariečių Jurbarko krašto bendrija ir evangelikų liuteronų diakonija „Jurbarko sandora“)</t>
  </si>
  <si>
    <t>projektui „Socialinių paslaugų įstaigos modernizavimas ir paslaugų plėtra Jurbarko rajone“ finansuoti</t>
  </si>
  <si>
    <t>projektui „Socialinio būsto plėtra Jurbarko rajono savivaldybėje“ finansuoti</t>
  </si>
  <si>
    <t>46.</t>
  </si>
  <si>
    <t>Seredžiaus senelių globos namams</t>
  </si>
  <si>
    <t>47.</t>
  </si>
  <si>
    <t>Skalvijos namams</t>
  </si>
  <si>
    <t>užimtumo programai vykdyti</t>
  </si>
  <si>
    <t>IŠ VISO:</t>
  </si>
  <si>
    <t xml:space="preserve">                                     2019 m. vasario 28 d. sprendimo Nr. T2-</t>
  </si>
  <si>
    <t xml:space="preserve">            4 priedas</t>
  </si>
  <si>
    <t>SPECIALIOSIOS TIKSLINĖS DOTACIJOS VALSTYBINĖMS (PERDUOTOMS</t>
  </si>
  <si>
    <t xml:space="preserve">SAVIVALDYBĖMS) FUNKCIJOMS VYKDYTI PASKIRSTYMAS </t>
  </si>
  <si>
    <t>Funkcijos pavadinimas</t>
  </si>
  <si>
    <t>Skiriama  suma (Eur)</t>
  </si>
  <si>
    <t>Gyventojų registro tvarkymas ir duomenų teikimas valstybės registrams</t>
  </si>
  <si>
    <t>Duomenų teikimas Suteiktos pagalbos ir nereikšmingos pagalbos registrui</t>
  </si>
  <si>
    <t>Archyvinių dokumentų tvarkymas</t>
  </si>
  <si>
    <t>Valstybinės kalbos vartojimo ir taisyklingumo kontrolė</t>
  </si>
  <si>
    <t>Civilinės būklės aktų registravimas</t>
  </si>
  <si>
    <t>Gyvenamosios vietos deklaravimas</t>
  </si>
  <si>
    <t>Pirminės teisinės pagalbos teikimas</t>
  </si>
  <si>
    <t>Mobilizacijos funkcijos administravimas</t>
  </si>
  <si>
    <t>Civilinės saugos administravimas</t>
  </si>
  <si>
    <t>Priešgaisrinių tarnybų organizavimas</t>
  </si>
  <si>
    <t>Žemės ūkio funkcijų vykdymas</t>
  </si>
  <si>
    <t>Melioracija</t>
  </si>
  <si>
    <t>13.</t>
  </si>
  <si>
    <t>Mokinių visuomenės sveikatos priežiūra ugdymo įstaigose</t>
  </si>
  <si>
    <t>Visuomenės sveikatos stiprinimas ir stebėsena</t>
  </si>
  <si>
    <t>Paramos mirties atveju skaičiavimas ir mokėjimas</t>
  </si>
  <si>
    <t>Jaunimo teisių apsauga</t>
  </si>
  <si>
    <t>Socialinė parama mokiniams</t>
  </si>
  <si>
    <t>Užimtumo didinimo programomų įgyvendinimas</t>
  </si>
  <si>
    <t xml:space="preserve">22. </t>
  </si>
  <si>
    <t>Socialinės paslaugos</t>
  </si>
  <si>
    <t>Būsto nuomos ir išperkamosios būsto nuomos mokesčių dalies kompensacijos</t>
  </si>
  <si>
    <t>Neveiksnių asmenų būklės peržiūrėjimo vykdymas</t>
  </si>
  <si>
    <t>Iš viso:</t>
  </si>
  <si>
    <t>_____________________</t>
  </si>
  <si>
    <t xml:space="preserve">                                      2019 m. vasario 28 d. sprendimo Nr. T2-</t>
  </si>
  <si>
    <t xml:space="preserve">            5 priedas</t>
  </si>
  <si>
    <t>NUMATOMŲ SKOLINTIS LĖŠŲ (PAGAL PRIIMTUS RAJONO SAVIVALDYBĖS TARYBOS SPRENDIMUS) PASKIRSTYMAS PAGAL PROGRAMAS</t>
  </si>
  <si>
    <t>Programos pavdinimas</t>
  </si>
  <si>
    <t>Suma (Eur)</t>
  </si>
  <si>
    <t>Bendrųjų funkcijų vykdymo programa</t>
  </si>
  <si>
    <t xml:space="preserve">    iš jų: kredito linijos lėšos</t>
  </si>
  <si>
    <t>Infrastruktūros objektų priežiūros, modernizavimo ir plėtros programa</t>
  </si>
  <si>
    <t xml:space="preserve">    iš jų: vandens tiekimo ir nuotekų tvarkymo infrastruktūros plėtros, vandens gerinimo įrenginių ir vandens gręžinių įrengimas kaimo vietovėse projektai</t>
  </si>
  <si>
    <t xml:space="preserve">    Dariaus  ir Girėno gatvės Jurbarke apšvietimo infrastruktūros modernizavimo projektas</t>
  </si>
  <si>
    <t xml:space="preserve">    Jurbarko autobusų stoties modernizavimo projektas</t>
  </si>
  <si>
    <t>_______________________</t>
  </si>
  <si>
    <t xml:space="preserve">            6 priedas</t>
  </si>
  <si>
    <t>DALIES SAVIVALDYBĖS BIUDŽETO LĖŠŲ LIKUČIO 2018 M. GRUODŽIO 31 D.</t>
  </si>
  <si>
    <t>PASKIRSTYMAS</t>
  </si>
  <si>
    <t>Įsiskolinimo pavadinimas</t>
  </si>
  <si>
    <t>Trumpalaikiams įsiskolinimams dengti, iš jų:</t>
  </si>
  <si>
    <t>Socialinio draudimo įmokoms</t>
  </si>
  <si>
    <t>Mitybai</t>
  </si>
  <si>
    <t>Ryšių paslaugoms</t>
  </si>
  <si>
    <t>Transportui išlaikyti</t>
  </si>
  <si>
    <t>Miestų ir gyvenviečių viešajam ūkiui</t>
  </si>
  <si>
    <t>Materialiojo ir nematerialiojo turto nuomai</t>
  </si>
  <si>
    <t>Komunalinėms paslaugoms, iš jų:</t>
  </si>
  <si>
    <t>1.7.1.</t>
  </si>
  <si>
    <t xml:space="preserve">   šildymui </t>
  </si>
  <si>
    <t>1.7.2.</t>
  </si>
  <si>
    <t xml:space="preserve">   elektros energijai</t>
  </si>
  <si>
    <t>1.7.3.</t>
  </si>
  <si>
    <t xml:space="preserve">   vandentiekiui ir kanalizacijai</t>
  </si>
  <si>
    <t>Informacinių technologijų prekėms ir paslaugoms įsigyti</t>
  </si>
  <si>
    <t>Kitų prekių ir paslaugų įsigijimo išlaidoms</t>
  </si>
  <si>
    <t>1.10.</t>
  </si>
  <si>
    <t>Subsidijoms</t>
  </si>
  <si>
    <t>1.11.</t>
  </si>
  <si>
    <t>Socialinei paramai pinigais</t>
  </si>
  <si>
    <t>Ilgalaikiams įsiskolinimams – Jurbarko rajono savivaldybės administracijos skolintoms iš bankų lėšoms grąžinti</t>
  </si>
  <si>
    <t>Savivaldybės biudžeto reikmėms finansuoti (socialinės paramos išmokoms)</t>
  </si>
  <si>
    <t>Savivaldybės biudžeto reikmėms finansuoti (viešojo naudojimo teritorijų tvarkymo darbams Jurbarko miesto seniūnijoje)</t>
  </si>
  <si>
    <t>Projekto, numatančio privačių namų prijungimą prie nuotekų surinkimo infrastruktūros, bendrajam finansavimui</t>
  </si>
  <si>
    <t>Europos Sąjungos finansinės paramos lėšos projektų bendrajam finansavimui vykdyti</t>
  </si>
  <si>
    <t>Aplinkos apsaugos rėmimo specialiajai programai finansuoti</t>
  </si>
  <si>
    <t xml:space="preserve">                                   __________________________</t>
  </si>
  <si>
    <t>Erdvinių duomenų rinkinio tvarkymas</t>
  </si>
  <si>
    <t>Savižudybių prevencinių programų vykdymas</t>
  </si>
  <si>
    <t>Perduotų įstaigų išlaikmas (Skalvijos namai)</t>
  </si>
  <si>
    <t>lėšos Naujamiesčio progimnazijos sporto aikštynui atnaujinti</t>
  </si>
  <si>
    <t>projektui „Kompleksinės paslaugos šeimai Jurbarko rajono savivaldybėje“ finansuoti</t>
  </si>
  <si>
    <t>42.2.</t>
  </si>
  <si>
    <t>42.3.</t>
  </si>
  <si>
    <t>42.4.</t>
  </si>
  <si>
    <t>42.5.</t>
  </si>
  <si>
    <t>42.6.</t>
  </si>
  <si>
    <t>42.7.</t>
  </si>
  <si>
    <t>43.</t>
  </si>
  <si>
    <t>43.1.</t>
  </si>
  <si>
    <t>43.2.</t>
  </si>
  <si>
    <t>43.3.</t>
  </si>
  <si>
    <t>43.4.</t>
  </si>
  <si>
    <t>43.5.</t>
  </si>
  <si>
    <t>43.6.</t>
  </si>
  <si>
    <t>43.7.</t>
  </si>
  <si>
    <t>43.8.</t>
  </si>
  <si>
    <t>43.9.</t>
  </si>
  <si>
    <t>43.10.</t>
  </si>
  <si>
    <t>43.11.</t>
  </si>
  <si>
    <t>43.12.</t>
  </si>
  <si>
    <t>43.13.</t>
  </si>
  <si>
    <t>43,14.</t>
  </si>
  <si>
    <t>43.15.</t>
  </si>
  <si>
    <t>43.16.</t>
  </si>
  <si>
    <t>43.17.</t>
  </si>
  <si>
    <t>43.18.</t>
  </si>
  <si>
    <t>43.19.</t>
  </si>
  <si>
    <t>43.20.</t>
  </si>
  <si>
    <t>43.21.</t>
  </si>
  <si>
    <t>43.22.</t>
  </si>
  <si>
    <t>43.23.</t>
  </si>
  <si>
    <t>43.24.</t>
  </si>
  <si>
    <t>43.25.</t>
  </si>
  <si>
    <t>43.26.</t>
  </si>
  <si>
    <t>43.27.</t>
  </si>
  <si>
    <t>43.28.</t>
  </si>
  <si>
    <t>43.29.</t>
  </si>
  <si>
    <t>43.30.</t>
  </si>
  <si>
    <t>43.31.</t>
  </si>
  <si>
    <t>43.32.</t>
  </si>
  <si>
    <t>43.33</t>
  </si>
  <si>
    <t>43.34</t>
  </si>
  <si>
    <t>43.35.</t>
  </si>
  <si>
    <t>44.</t>
  </si>
  <si>
    <t>46.1.</t>
  </si>
  <si>
    <t>47.1.</t>
  </si>
  <si>
    <t>Tikslinės lėšos Jurbarko ligoninei medicinos aparatūrai įsigyti</t>
  </si>
  <si>
    <t>3.9.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</si>
</sst>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  <numFmt numFmtId="165" formatCode="#,##0\ &quot;Lt&quot;;[Red]\-#,##0\ &quot;Lt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.5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10.5"/>
      <name val="Times New Roman"/>
      <family val="1"/>
    </font>
    <font>
      <b/>
      <sz val="10.8"/>
      <name val="Times New Roman"/>
      <family val="1"/>
    </font>
    <font>
      <b/>
      <sz val="11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4" applyNumberFormat="0" applyAlignment="0" applyProtection="0"/>
    <xf numFmtId="0" fontId="6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22" borderId="5" applyNumberForma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0" fontId="7" fillId="0" borderId="12" xfId="0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right" wrapText="1"/>
    </xf>
    <xf numFmtId="0" fontId="9" fillId="0" borderId="0" xfId="0" applyFont="1" applyAlignment="1">
      <alignment horizontal="left"/>
    </xf>
    <xf numFmtId="16" fontId="2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/>
    </xf>
    <xf numFmtId="0" fontId="70" fillId="0" borderId="10" xfId="0" applyFont="1" applyBorder="1" applyAlignment="1">
      <alignment horizontal="right"/>
    </xf>
    <xf numFmtId="0" fontId="71" fillId="0" borderId="10" xfId="0" applyFont="1" applyBorder="1" applyAlignment="1">
      <alignment horizontal="right"/>
    </xf>
    <xf numFmtId="16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left" wrapText="1"/>
    </xf>
    <xf numFmtId="0" fontId="7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0" fontId="11" fillId="0" borderId="10" xfId="0" applyFont="1" applyBorder="1" applyAlignment="1">
      <alignment horizontal="right" wrapText="1"/>
    </xf>
    <xf numFmtId="0" fontId="71" fillId="0" borderId="0" xfId="0" applyFont="1" applyAlignment="1">
      <alignment horizontal="left"/>
    </xf>
    <xf numFmtId="0" fontId="2" fillId="0" borderId="11" xfId="0" applyFont="1" applyBorder="1" applyAlignment="1">
      <alignment horizontal="right"/>
    </xf>
    <xf numFmtId="0" fontId="73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left" wrapText="1"/>
    </xf>
    <xf numFmtId="16" fontId="2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11" fillId="0" borderId="14" xfId="0" applyFont="1" applyBorder="1" applyAlignment="1">
      <alignment wrapText="1"/>
    </xf>
    <xf numFmtId="16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2" fillId="0" borderId="13" xfId="0" applyFont="1" applyBorder="1" applyAlignment="1">
      <alignment horizontal="right"/>
    </xf>
    <xf numFmtId="0" fontId="11" fillId="0" borderId="13" xfId="0" applyFont="1" applyBorder="1" applyAlignment="1">
      <alignment horizontal="right" wrapText="1"/>
    </xf>
    <xf numFmtId="0" fontId="11" fillId="0" borderId="13" xfId="0" applyFont="1" applyBorder="1" applyAlignment="1">
      <alignment horizontal="left" wrapText="1"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10" xfId="0" applyFont="1" applyBorder="1" applyAlignment="1">
      <alignment horizontal="right"/>
    </xf>
    <xf numFmtId="0" fontId="19" fillId="0" borderId="10" xfId="0" applyFont="1" applyBorder="1" applyAlignment="1">
      <alignment wrapText="1"/>
    </xf>
    <xf numFmtId="16" fontId="2" fillId="0" borderId="10" xfId="0" applyNumberFormat="1" applyFont="1" applyBorder="1" applyAlignment="1">
      <alignment horizontal="right" wrapText="1"/>
    </xf>
    <xf numFmtId="17" fontId="2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73" fillId="0" borderId="0" xfId="0" applyFont="1" applyAlignment="1">
      <alignment wrapText="1"/>
    </xf>
    <xf numFmtId="0" fontId="22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0" fontId="11" fillId="0" borderId="15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71" fillId="0" borderId="0" xfId="0" applyFont="1" applyAlignment="1">
      <alignment horizontal="right"/>
    </xf>
    <xf numFmtId="0" fontId="71" fillId="0" borderId="0" xfId="0" applyFont="1" applyAlignment="1">
      <alignment wrapText="1"/>
    </xf>
    <xf numFmtId="0" fontId="70" fillId="0" borderId="0" xfId="0" applyFont="1" applyAlignment="1">
      <alignment/>
    </xf>
    <xf numFmtId="0" fontId="68" fillId="0" borderId="0" xfId="0" applyFont="1" applyAlignment="1">
      <alignment horizontal="right"/>
    </xf>
    <xf numFmtId="0" fontId="68" fillId="0" borderId="0" xfId="0" applyFont="1" applyAlignment="1">
      <alignment wrapText="1"/>
    </xf>
    <xf numFmtId="0" fontId="74" fillId="0" borderId="0" xfId="0" applyFont="1" applyAlignment="1">
      <alignment/>
    </xf>
    <xf numFmtId="0" fontId="70" fillId="0" borderId="16" xfId="0" applyFont="1" applyBorder="1" applyAlignment="1">
      <alignment/>
    </xf>
    <xf numFmtId="0" fontId="71" fillId="0" borderId="16" xfId="0" applyFont="1" applyBorder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165" fontId="8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18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zoomScale="110" zoomScaleNormal="110" zoomScalePageLayoutView="0" workbookViewId="0" topLeftCell="A22">
      <selection activeCell="K37" sqref="K37"/>
    </sheetView>
  </sheetViews>
  <sheetFormatPr defaultColWidth="9.140625" defaultRowHeight="15"/>
  <cols>
    <col min="1" max="1" width="6.00390625" style="4" customWidth="1"/>
    <col min="2" max="2" width="74.28125" style="0" customWidth="1"/>
    <col min="3" max="3" width="13.8515625" style="0" customWidth="1"/>
    <col min="4" max="4" width="2.7109375" style="0" customWidth="1"/>
  </cols>
  <sheetData>
    <row r="1" spans="1:3" ht="15.75">
      <c r="A1" s="1"/>
      <c r="B1" s="145" t="s">
        <v>0</v>
      </c>
      <c r="C1" s="145"/>
    </row>
    <row r="2" spans="1:3" ht="15.75">
      <c r="A2" s="1"/>
      <c r="B2" s="145" t="s">
        <v>1</v>
      </c>
      <c r="C2" s="145"/>
    </row>
    <row r="3" spans="1:3" ht="15.75">
      <c r="A3" s="1"/>
      <c r="B3" s="2" t="s">
        <v>2</v>
      </c>
      <c r="C3" s="3"/>
    </row>
    <row r="4" spans="1:3" ht="15.75">
      <c r="A4" s="1"/>
      <c r="B4" s="3"/>
      <c r="C4" s="3"/>
    </row>
    <row r="5" spans="1:3" ht="15.75">
      <c r="A5" s="146" t="s">
        <v>3</v>
      </c>
      <c r="B5" s="146"/>
      <c r="C5" s="146"/>
    </row>
    <row r="6" ht="9" customHeight="1"/>
    <row r="7" spans="1:3" ht="28.5" customHeight="1">
      <c r="A7" s="5" t="s">
        <v>4</v>
      </c>
      <c r="B7" s="5" t="s">
        <v>5</v>
      </c>
      <c r="C7" s="5" t="s">
        <v>6</v>
      </c>
    </row>
    <row r="8" spans="1:3" s="8" customFormat="1" ht="33" customHeight="1">
      <c r="A8" s="5" t="s">
        <v>7</v>
      </c>
      <c r="B8" s="6" t="s">
        <v>8</v>
      </c>
      <c r="C8" s="7">
        <f>SUM(C9:C17)</f>
        <v>15136000</v>
      </c>
    </row>
    <row r="9" spans="1:3" s="8" customFormat="1" ht="16.5" customHeight="1">
      <c r="A9" s="9" t="s">
        <v>9</v>
      </c>
      <c r="B9" s="10" t="s">
        <v>10</v>
      </c>
      <c r="C9" s="11">
        <f>5923000+2334000+4140000+1987000</f>
        <v>14384000</v>
      </c>
    </row>
    <row r="10" spans="1:3" s="8" customFormat="1" ht="16.5" customHeight="1">
      <c r="A10" s="9" t="s">
        <v>11</v>
      </c>
      <c r="B10" s="10" t="s">
        <v>12</v>
      </c>
      <c r="C10" s="11">
        <v>350000</v>
      </c>
    </row>
    <row r="11" spans="1:3" s="8" customFormat="1" ht="16.5" customHeight="1">
      <c r="A11" s="9" t="s">
        <v>13</v>
      </c>
      <c r="B11" s="10" t="s">
        <v>14</v>
      </c>
      <c r="C11" s="11">
        <v>197000</v>
      </c>
    </row>
    <row r="12" spans="1:3" s="8" customFormat="1" ht="16.5" customHeight="1">
      <c r="A12" s="9" t="s">
        <v>15</v>
      </c>
      <c r="B12" s="10" t="s">
        <v>16</v>
      </c>
      <c r="C12" s="11">
        <v>18000</v>
      </c>
    </row>
    <row r="13" spans="1:3" s="8" customFormat="1" ht="16.5" customHeight="1">
      <c r="A13" s="9" t="s">
        <v>17</v>
      </c>
      <c r="B13" s="10" t="s">
        <v>18</v>
      </c>
      <c r="C13" s="11">
        <v>30000</v>
      </c>
    </row>
    <row r="14" spans="1:3" s="8" customFormat="1" ht="30" customHeight="1">
      <c r="A14" s="9" t="s">
        <v>19</v>
      </c>
      <c r="B14" s="10" t="s">
        <v>20</v>
      </c>
      <c r="C14" s="11">
        <v>100000</v>
      </c>
    </row>
    <row r="15" spans="1:3" s="8" customFormat="1" ht="16.5" customHeight="1">
      <c r="A15" s="9" t="s">
        <v>21</v>
      </c>
      <c r="B15" s="10" t="s">
        <v>22</v>
      </c>
      <c r="C15" s="12">
        <v>35000</v>
      </c>
    </row>
    <row r="16" spans="1:3" s="8" customFormat="1" ht="16.5" customHeight="1">
      <c r="A16" s="9" t="s">
        <v>23</v>
      </c>
      <c r="B16" s="13" t="s">
        <v>24</v>
      </c>
      <c r="C16" s="14">
        <v>17000</v>
      </c>
    </row>
    <row r="17" spans="1:3" s="8" customFormat="1" ht="16.5" customHeight="1">
      <c r="A17" s="9" t="s">
        <v>25</v>
      </c>
      <c r="B17" s="10" t="s">
        <v>26</v>
      </c>
      <c r="C17" s="11">
        <v>5000</v>
      </c>
    </row>
    <row r="18" spans="1:3" s="8" customFormat="1" ht="16.5" customHeight="1">
      <c r="A18" s="5" t="s">
        <v>27</v>
      </c>
      <c r="B18" s="6" t="s">
        <v>28</v>
      </c>
      <c r="C18" s="7">
        <f>SUM(C19:C27)</f>
        <v>1509101</v>
      </c>
    </row>
    <row r="19" spans="1:3" s="8" customFormat="1" ht="16.5" customHeight="1">
      <c r="A19" s="9" t="s">
        <v>29</v>
      </c>
      <c r="B19" s="10" t="s">
        <v>30</v>
      </c>
      <c r="C19" s="11">
        <v>700000</v>
      </c>
    </row>
    <row r="20" spans="1:3" s="8" customFormat="1" ht="16.5" customHeight="1">
      <c r="A20" s="9" t="s">
        <v>31</v>
      </c>
      <c r="B20" s="10" t="s">
        <v>32</v>
      </c>
      <c r="C20" s="12">
        <v>7000</v>
      </c>
    </row>
    <row r="21" spans="1:3" s="8" customFormat="1" ht="16.5" customHeight="1">
      <c r="A21" s="9" t="s">
        <v>33</v>
      </c>
      <c r="B21" s="10" t="s">
        <v>34</v>
      </c>
      <c r="C21" s="11">
        <v>40000</v>
      </c>
    </row>
    <row r="22" spans="1:3" s="8" customFormat="1" ht="16.5" customHeight="1">
      <c r="A22" s="9" t="s">
        <v>35</v>
      </c>
      <c r="B22" s="10" t="s">
        <v>36</v>
      </c>
      <c r="C22" s="11">
        <v>25000</v>
      </c>
    </row>
    <row r="23" spans="1:3" s="8" customFormat="1" ht="16.5" customHeight="1">
      <c r="A23" s="9" t="s">
        <v>37</v>
      </c>
      <c r="B23" s="10" t="s">
        <v>38</v>
      </c>
      <c r="C23" s="11">
        <v>25000</v>
      </c>
    </row>
    <row r="24" spans="1:3" s="8" customFormat="1" ht="16.5" customHeight="1">
      <c r="A24" s="9" t="s">
        <v>39</v>
      </c>
      <c r="B24" s="10" t="s">
        <v>40</v>
      </c>
      <c r="C24" s="11">
        <v>25000</v>
      </c>
    </row>
    <row r="25" spans="1:3" s="8" customFormat="1" ht="16.5" customHeight="1">
      <c r="A25" s="9" t="s">
        <v>41</v>
      </c>
      <c r="B25" s="10" t="s">
        <v>42</v>
      </c>
      <c r="C25" s="11">
        <f>160351+40000</f>
        <v>200351</v>
      </c>
    </row>
    <row r="26" spans="1:3" s="8" customFormat="1" ht="16.5" customHeight="1">
      <c r="A26" s="9" t="s">
        <v>43</v>
      </c>
      <c r="B26" s="10" t="s">
        <v>44</v>
      </c>
      <c r="C26" s="11">
        <v>103870</v>
      </c>
    </row>
    <row r="27" spans="1:3" s="8" customFormat="1" ht="16.5" customHeight="1">
      <c r="A27" s="9" t="s">
        <v>45</v>
      </c>
      <c r="B27" s="15" t="s">
        <v>46</v>
      </c>
      <c r="C27" s="11">
        <v>382880</v>
      </c>
    </row>
    <row r="28" spans="1:3" s="8" customFormat="1" ht="16.5" customHeight="1">
      <c r="A28" s="5" t="s">
        <v>47</v>
      </c>
      <c r="B28" s="6" t="s">
        <v>48</v>
      </c>
      <c r="C28" s="7">
        <f>SUM(C29:C37)</f>
        <v>9750835</v>
      </c>
    </row>
    <row r="29" spans="1:3" s="8" customFormat="1" ht="16.5" customHeight="1">
      <c r="A29" s="9" t="s">
        <v>49</v>
      </c>
      <c r="B29" s="10" t="s">
        <v>50</v>
      </c>
      <c r="C29" s="11">
        <v>2348419</v>
      </c>
    </row>
    <row r="30" spans="1:3" s="8" customFormat="1" ht="16.5" customHeight="1">
      <c r="A30" s="9" t="s">
        <v>51</v>
      </c>
      <c r="B30" s="10" t="s">
        <v>52</v>
      </c>
      <c r="C30" s="11">
        <v>6077900</v>
      </c>
    </row>
    <row r="31" spans="1:3" s="8" customFormat="1" ht="16.5" customHeight="1">
      <c r="A31" s="9" t="s">
        <v>53</v>
      </c>
      <c r="B31" s="10" t="s">
        <v>54</v>
      </c>
      <c r="C31" s="11">
        <v>12800</v>
      </c>
    </row>
    <row r="32" spans="1:3" s="8" customFormat="1" ht="16.5" customHeight="1">
      <c r="A32" s="9" t="s">
        <v>55</v>
      </c>
      <c r="B32" s="10" t="s">
        <v>56</v>
      </c>
      <c r="C32" s="11">
        <v>15900</v>
      </c>
    </row>
    <row r="33" spans="1:3" s="8" customFormat="1" ht="16.5" customHeight="1">
      <c r="A33" s="9" t="s">
        <v>57</v>
      </c>
      <c r="B33" s="10" t="s">
        <v>58</v>
      </c>
      <c r="C33" s="11">
        <v>2223</v>
      </c>
    </row>
    <row r="34" spans="1:3" s="8" customFormat="1" ht="16.5" customHeight="1">
      <c r="A34" s="9" t="s">
        <v>59</v>
      </c>
      <c r="B34" s="10" t="s">
        <v>60</v>
      </c>
      <c r="C34" s="11">
        <v>522000</v>
      </c>
    </row>
    <row r="35" spans="1:3" s="8" customFormat="1" ht="16.5" customHeight="1">
      <c r="A35" s="9" t="s">
        <v>61</v>
      </c>
      <c r="B35" s="10" t="s">
        <v>600</v>
      </c>
      <c r="C35" s="11">
        <v>200000</v>
      </c>
    </row>
    <row r="36" spans="1:3" s="8" customFormat="1" ht="31.5" customHeight="1">
      <c r="A36" s="9" t="s">
        <v>63</v>
      </c>
      <c r="B36" s="10" t="s">
        <v>62</v>
      </c>
      <c r="C36" s="11">
        <v>121504</v>
      </c>
    </row>
    <row r="37" spans="1:3" s="8" customFormat="1" ht="16.5" customHeight="1">
      <c r="A37" s="9" t="s">
        <v>601</v>
      </c>
      <c r="B37" s="10" t="s">
        <v>64</v>
      </c>
      <c r="C37" s="11">
        <f>432483+17606</f>
        <v>450089</v>
      </c>
    </row>
    <row r="38" spans="1:3" s="16" customFormat="1" ht="16.5" customHeight="1">
      <c r="A38" s="5" t="s">
        <v>65</v>
      </c>
      <c r="B38" s="6" t="s">
        <v>66</v>
      </c>
      <c r="C38" s="7">
        <v>740000</v>
      </c>
    </row>
    <row r="39" spans="1:3" s="16" customFormat="1" ht="16.5" customHeight="1">
      <c r="A39" s="5" t="s">
        <v>67</v>
      </c>
      <c r="B39" s="6" t="s">
        <v>68</v>
      </c>
      <c r="C39" s="7">
        <f>SUM(C40:C45)</f>
        <v>1924048</v>
      </c>
    </row>
    <row r="40" spans="1:3" s="8" customFormat="1" ht="16.5" customHeight="1">
      <c r="A40" s="9" t="s">
        <v>69</v>
      </c>
      <c r="B40" s="10" t="s">
        <v>70</v>
      </c>
      <c r="C40" s="17">
        <v>229722</v>
      </c>
    </row>
    <row r="41" spans="1:3" s="16" customFormat="1" ht="16.5" customHeight="1">
      <c r="A41" s="9" t="s">
        <v>71</v>
      </c>
      <c r="B41" s="10" t="s">
        <v>72</v>
      </c>
      <c r="C41" s="17">
        <v>746200</v>
      </c>
    </row>
    <row r="42" spans="1:3" s="16" customFormat="1" ht="16.5" customHeight="1">
      <c r="A42" s="9" t="s">
        <v>73</v>
      </c>
      <c r="B42" s="10" t="s">
        <v>74</v>
      </c>
      <c r="C42" s="17">
        <f>417078+38800</f>
        <v>455878</v>
      </c>
    </row>
    <row r="43" spans="1:3" s="16" customFormat="1" ht="16.5" customHeight="1">
      <c r="A43" s="9" t="s">
        <v>75</v>
      </c>
      <c r="B43" s="10" t="s">
        <v>76</v>
      </c>
      <c r="C43" s="17">
        <v>12775</v>
      </c>
    </row>
    <row r="44" spans="1:3" s="16" customFormat="1" ht="16.5" customHeight="1">
      <c r="A44" s="9" t="s">
        <v>77</v>
      </c>
      <c r="B44" s="10" t="s">
        <v>64</v>
      </c>
      <c r="C44" s="17">
        <v>452577</v>
      </c>
    </row>
    <row r="45" spans="1:3" s="16" customFormat="1" ht="16.5" customHeight="1">
      <c r="A45" s="9" t="s">
        <v>78</v>
      </c>
      <c r="B45" s="10" t="s">
        <v>79</v>
      </c>
      <c r="C45" s="17">
        <v>26896</v>
      </c>
    </row>
    <row r="46" spans="1:3" s="16" customFormat="1" ht="16.5" customHeight="1">
      <c r="A46" s="5"/>
      <c r="B46" s="6" t="s">
        <v>80</v>
      </c>
      <c r="C46" s="7">
        <f>C8+C18+C28+C38+C39</f>
        <v>29059984</v>
      </c>
    </row>
    <row r="47" ht="15">
      <c r="B47" s="18" t="s">
        <v>81</v>
      </c>
    </row>
  </sheetData>
  <sheetProtection/>
  <mergeCells count="3">
    <mergeCell ref="B1:C1"/>
    <mergeCell ref="B2:C2"/>
    <mergeCell ref="A5:C5"/>
  </mergeCells>
  <printOptions/>
  <pageMargins left="0.7086614173228347" right="0" top="0.551181102362204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="110" zoomScaleNormal="110" zoomScalePageLayoutView="0" workbookViewId="0" topLeftCell="A13">
      <selection activeCell="C36" sqref="C36"/>
    </sheetView>
  </sheetViews>
  <sheetFormatPr defaultColWidth="9.140625" defaultRowHeight="15"/>
  <cols>
    <col min="1" max="1" width="6.00390625" style="26" customWidth="1"/>
    <col min="2" max="2" width="71.00390625" style="27" customWidth="1"/>
    <col min="3" max="3" width="15.00390625" style="28" customWidth="1"/>
    <col min="4" max="4" width="2.57421875" style="27" customWidth="1"/>
    <col min="5" max="16384" width="9.140625" style="27" customWidth="1"/>
  </cols>
  <sheetData>
    <row r="1" spans="1:3" s="8" customFormat="1" ht="15.75">
      <c r="A1" s="19"/>
      <c r="B1" s="145" t="s">
        <v>0</v>
      </c>
      <c r="C1" s="145"/>
    </row>
    <row r="2" spans="1:3" s="8" customFormat="1" ht="15.75">
      <c r="A2" s="19"/>
      <c r="B2" s="145" t="s">
        <v>1</v>
      </c>
      <c r="C2" s="145"/>
    </row>
    <row r="3" spans="1:3" s="8" customFormat="1" ht="15.75">
      <c r="A3" s="19"/>
      <c r="B3" s="2" t="s">
        <v>82</v>
      </c>
      <c r="C3" s="20"/>
    </row>
    <row r="4" spans="1:3" s="8" customFormat="1" ht="10.5" customHeight="1">
      <c r="A4" s="19"/>
      <c r="B4" s="3"/>
      <c r="C4" s="20"/>
    </row>
    <row r="5" spans="1:3" s="8" customFormat="1" ht="21" customHeight="1">
      <c r="A5" s="19"/>
      <c r="B5" s="21"/>
      <c r="C5" s="22"/>
    </row>
    <row r="6" spans="1:3" s="8" customFormat="1" ht="31.5" customHeight="1">
      <c r="A6" s="147" t="s">
        <v>83</v>
      </c>
      <c r="B6" s="147"/>
      <c r="C6" s="147"/>
    </row>
    <row r="7" spans="1:3" s="8" customFormat="1" ht="10.5" customHeight="1">
      <c r="A7" s="19"/>
      <c r="C7" s="23"/>
    </row>
    <row r="8" spans="1:3" s="8" customFormat="1" ht="28.5" customHeight="1">
      <c r="A8" s="5" t="s">
        <v>4</v>
      </c>
      <c r="B8" s="5" t="s">
        <v>84</v>
      </c>
      <c r="C8" s="5" t="s">
        <v>6</v>
      </c>
    </row>
    <row r="9" spans="1:3" s="8" customFormat="1" ht="15.75">
      <c r="A9" s="5" t="s">
        <v>7</v>
      </c>
      <c r="B9" s="24" t="s">
        <v>85</v>
      </c>
      <c r="C9" s="7">
        <f>SUM(C10:C17)</f>
        <v>29059984</v>
      </c>
    </row>
    <row r="10" spans="1:3" s="8" customFormat="1" ht="15.75">
      <c r="A10" s="9" t="s">
        <v>9</v>
      </c>
      <c r="B10" s="25" t="s">
        <v>86</v>
      </c>
      <c r="C10" s="11">
        <v>4361306</v>
      </c>
    </row>
    <row r="11" spans="1:3" s="8" customFormat="1" ht="15.75">
      <c r="A11" s="9" t="s">
        <v>11</v>
      </c>
      <c r="B11" s="25" t="s">
        <v>87</v>
      </c>
      <c r="C11" s="11">
        <v>283700</v>
      </c>
    </row>
    <row r="12" spans="1:3" s="8" customFormat="1" ht="15.75">
      <c r="A12" s="9" t="s">
        <v>13</v>
      </c>
      <c r="B12" s="25" t="s">
        <v>88</v>
      </c>
      <c r="C12" s="11">
        <v>572749</v>
      </c>
    </row>
    <row r="13" spans="1:3" s="8" customFormat="1" ht="15.75">
      <c r="A13" s="9" t="s">
        <v>15</v>
      </c>
      <c r="B13" s="25" t="s">
        <v>89</v>
      </c>
      <c r="C13" s="11">
        <f>2891953+38800</f>
        <v>2930753</v>
      </c>
    </row>
    <row r="14" spans="1:3" s="8" customFormat="1" ht="15.75">
      <c r="A14" s="9" t="s">
        <v>17</v>
      </c>
      <c r="B14" s="25" t="s">
        <v>90</v>
      </c>
      <c r="C14" s="11">
        <f>1246890+200000</f>
        <v>1446890</v>
      </c>
    </row>
    <row r="15" spans="1:3" s="8" customFormat="1" ht="15.75">
      <c r="A15" s="9" t="s">
        <v>19</v>
      </c>
      <c r="B15" s="25" t="s">
        <v>91</v>
      </c>
      <c r="C15" s="11">
        <v>3035517</v>
      </c>
    </row>
    <row r="16" spans="1:3" s="8" customFormat="1" ht="15.75">
      <c r="A16" s="9" t="s">
        <v>21</v>
      </c>
      <c r="B16" s="25" t="s">
        <v>92</v>
      </c>
      <c r="C16" s="11">
        <v>11968551</v>
      </c>
    </row>
    <row r="17" spans="1:3" s="8" customFormat="1" ht="17.25" customHeight="1">
      <c r="A17" s="9" t="s">
        <v>23</v>
      </c>
      <c r="B17" s="25" t="s">
        <v>93</v>
      </c>
      <c r="C17" s="11">
        <f>4442912+17606</f>
        <v>4460518</v>
      </c>
    </row>
    <row r="18" spans="1:3" s="8" customFormat="1" ht="15.75">
      <c r="A18" s="5" t="s">
        <v>27</v>
      </c>
      <c r="B18" s="6" t="s">
        <v>94</v>
      </c>
      <c r="C18" s="7">
        <f>16576000+38800</f>
        <v>16614800</v>
      </c>
    </row>
    <row r="19" spans="1:3" s="8" customFormat="1" ht="15.75">
      <c r="A19" s="9" t="s">
        <v>29</v>
      </c>
      <c r="B19" s="10" t="s">
        <v>95</v>
      </c>
      <c r="C19" s="11">
        <f>C18-C21-C22</f>
        <v>15401875</v>
      </c>
    </row>
    <row r="20" spans="1:3" s="8" customFormat="1" ht="15.75">
      <c r="A20" s="9" t="s">
        <v>31</v>
      </c>
      <c r="B20" s="10" t="s">
        <v>96</v>
      </c>
      <c r="C20" s="11">
        <f>8678375</f>
        <v>8678375</v>
      </c>
    </row>
    <row r="21" spans="1:3" s="8" customFormat="1" ht="15.75">
      <c r="A21" s="9" t="s">
        <v>33</v>
      </c>
      <c r="B21" s="10" t="s">
        <v>97</v>
      </c>
      <c r="C21" s="11">
        <f>431725+35000</f>
        <v>466725</v>
      </c>
    </row>
    <row r="22" spans="1:3" s="8" customFormat="1" ht="15.75">
      <c r="A22" s="9" t="s">
        <v>35</v>
      </c>
      <c r="B22" s="10" t="s">
        <v>98</v>
      </c>
      <c r="C22" s="11">
        <v>746200</v>
      </c>
    </row>
    <row r="23" spans="1:3" s="8" customFormat="1" ht="31.5">
      <c r="A23" s="5" t="s">
        <v>47</v>
      </c>
      <c r="B23" s="6" t="s">
        <v>99</v>
      </c>
      <c r="C23" s="7">
        <f>2348419</f>
        <v>2348419</v>
      </c>
    </row>
    <row r="24" spans="1:3" s="8" customFormat="1" ht="15.75">
      <c r="A24" s="9" t="s">
        <v>49</v>
      </c>
      <c r="B24" s="10" t="s">
        <v>95</v>
      </c>
      <c r="C24" s="11">
        <f>C23</f>
        <v>2348419</v>
      </c>
    </row>
    <row r="25" spans="1:3" s="8" customFormat="1" ht="15.75">
      <c r="A25" s="9" t="s">
        <v>51</v>
      </c>
      <c r="B25" s="10" t="s">
        <v>96</v>
      </c>
      <c r="C25" s="11">
        <v>1054868</v>
      </c>
    </row>
    <row r="26" spans="1:3" s="8" customFormat="1" ht="15.75" customHeight="1">
      <c r="A26" s="5" t="s">
        <v>65</v>
      </c>
      <c r="B26" s="6" t="s">
        <v>100</v>
      </c>
      <c r="C26" s="7">
        <v>6077900</v>
      </c>
    </row>
    <row r="27" spans="1:3" s="8" customFormat="1" ht="15.75">
      <c r="A27" s="9" t="s">
        <v>101</v>
      </c>
      <c r="B27" s="10" t="s">
        <v>95</v>
      </c>
      <c r="C27" s="11">
        <f>C26-C29</f>
        <v>6065891</v>
      </c>
    </row>
    <row r="28" spans="1:3" s="8" customFormat="1" ht="15.75">
      <c r="A28" s="9" t="s">
        <v>102</v>
      </c>
      <c r="B28" s="10" t="s">
        <v>96</v>
      </c>
      <c r="C28" s="11">
        <v>5843430</v>
      </c>
    </row>
    <row r="29" spans="1:3" s="8" customFormat="1" ht="15.75">
      <c r="A29" s="9" t="s">
        <v>103</v>
      </c>
      <c r="B29" s="10" t="s">
        <v>97</v>
      </c>
      <c r="C29" s="11">
        <v>12009</v>
      </c>
    </row>
    <row r="30" spans="1:3" s="8" customFormat="1" ht="17.25" customHeight="1">
      <c r="A30" s="5" t="s">
        <v>67</v>
      </c>
      <c r="B30" s="6" t="s">
        <v>104</v>
      </c>
      <c r="C30" s="7">
        <f>C31+C32</f>
        <v>740000</v>
      </c>
    </row>
    <row r="31" spans="1:3" s="8" customFormat="1" ht="17.25" customHeight="1">
      <c r="A31" s="9" t="s">
        <v>105</v>
      </c>
      <c r="B31" s="10" t="s">
        <v>95</v>
      </c>
      <c r="C31" s="11">
        <v>85000</v>
      </c>
    </row>
    <row r="32" spans="1:3" s="8" customFormat="1" ht="15.75">
      <c r="A32" s="9" t="s">
        <v>71</v>
      </c>
      <c r="B32" s="10" t="s">
        <v>97</v>
      </c>
      <c r="C32" s="11">
        <v>655000</v>
      </c>
    </row>
    <row r="33" spans="1:3" s="16" customFormat="1" ht="31.5">
      <c r="A33" s="5" t="s">
        <v>106</v>
      </c>
      <c r="B33" s="6" t="s">
        <v>107</v>
      </c>
      <c r="C33" s="7">
        <f>1572262+17606+200000</f>
        <v>1789868</v>
      </c>
    </row>
    <row r="34" spans="1:3" s="8" customFormat="1" ht="15.75">
      <c r="A34" s="9" t="s">
        <v>108</v>
      </c>
      <c r="B34" s="10" t="s">
        <v>95</v>
      </c>
      <c r="C34" s="11">
        <f>C33-C36</f>
        <v>224948</v>
      </c>
    </row>
    <row r="35" spans="1:3" s="8" customFormat="1" ht="15.75">
      <c r="A35" s="9" t="s">
        <v>109</v>
      </c>
      <c r="B35" s="10" t="s">
        <v>96</v>
      </c>
      <c r="C35" s="11">
        <v>15675</v>
      </c>
    </row>
    <row r="36" spans="1:3" s="8" customFormat="1" ht="15.75">
      <c r="A36" s="9" t="s">
        <v>110</v>
      </c>
      <c r="B36" s="10" t="s">
        <v>97</v>
      </c>
      <c r="C36" s="11">
        <f>1364920+200000</f>
        <v>1564920</v>
      </c>
    </row>
    <row r="37" spans="1:3" s="8" customFormat="1" ht="32.25" customHeight="1">
      <c r="A37" s="5" t="s">
        <v>111</v>
      </c>
      <c r="B37" s="6" t="s">
        <v>112</v>
      </c>
      <c r="C37" s="7">
        <v>1488997</v>
      </c>
    </row>
    <row r="38" spans="1:3" s="8" customFormat="1" ht="15.75">
      <c r="A38" s="9" t="s">
        <v>113</v>
      </c>
      <c r="B38" s="10" t="s">
        <v>95</v>
      </c>
      <c r="C38" s="11">
        <f>C37-C40</f>
        <v>1482097</v>
      </c>
    </row>
    <row r="39" spans="1:3" s="8" customFormat="1" ht="15.75">
      <c r="A39" s="9" t="s">
        <v>114</v>
      </c>
      <c r="B39" s="10" t="s">
        <v>96</v>
      </c>
      <c r="C39" s="11">
        <v>70000</v>
      </c>
    </row>
    <row r="40" spans="1:3" s="8" customFormat="1" ht="15.75">
      <c r="A40" s="9" t="s">
        <v>115</v>
      </c>
      <c r="B40" s="10" t="s">
        <v>97</v>
      </c>
      <c r="C40" s="11">
        <v>6900</v>
      </c>
    </row>
    <row r="41" ht="4.5" customHeight="1"/>
    <row r="42" spans="1:3" s="8" customFormat="1" ht="15.75">
      <c r="A42" s="19"/>
      <c r="B42" s="29"/>
      <c r="C42" s="31"/>
    </row>
    <row r="43" spans="1:3" s="8" customFormat="1" ht="15">
      <c r="A43" s="19"/>
      <c r="B43" s="30" t="s">
        <v>116</v>
      </c>
      <c r="C43" s="31"/>
    </row>
    <row r="44" spans="1:3" s="8" customFormat="1" ht="15.75">
      <c r="A44" s="19"/>
      <c r="B44" s="29"/>
      <c r="C44" s="32"/>
    </row>
    <row r="45" spans="1:3" s="8" customFormat="1" ht="15.75">
      <c r="A45" s="19"/>
      <c r="B45" s="29"/>
      <c r="C45" s="32"/>
    </row>
    <row r="46" spans="1:3" s="8" customFormat="1" ht="14.25">
      <c r="A46" s="19"/>
      <c r="C46" s="31"/>
    </row>
    <row r="47" spans="1:3" s="8" customFormat="1" ht="14.25">
      <c r="A47" s="19"/>
      <c r="C47" s="23"/>
    </row>
  </sheetData>
  <sheetProtection/>
  <mergeCells count="3">
    <mergeCell ref="B1:C1"/>
    <mergeCell ref="B2:C2"/>
    <mergeCell ref="A6:C6"/>
  </mergeCells>
  <printOptions/>
  <pageMargins left="0.7086614173228347" right="0" top="0.5511811023622047" bottom="0.3937007874015748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1"/>
  <sheetViews>
    <sheetView showZeros="0" tabSelected="1" zoomScalePageLayoutView="0" workbookViewId="0" topLeftCell="A1">
      <selection activeCell="E198" sqref="E198"/>
    </sheetView>
  </sheetViews>
  <sheetFormatPr defaultColWidth="9.140625" defaultRowHeight="15" customHeight="1"/>
  <cols>
    <col min="1" max="1" width="4.7109375" style="107" customWidth="1"/>
    <col min="2" max="2" width="44.140625" style="108" customWidth="1"/>
    <col min="3" max="3" width="10.28125" style="109" customWidth="1"/>
    <col min="4" max="4" width="10.57421875" style="27" customWidth="1"/>
    <col min="5" max="5" width="10.00390625" style="27" customWidth="1"/>
    <col min="6" max="6" width="9.8515625" style="109" customWidth="1"/>
    <col min="7" max="7" width="9.57421875" style="27" customWidth="1"/>
    <col min="8" max="8" width="9.8515625" style="27" customWidth="1"/>
    <col min="9" max="10" width="10.00390625" style="109" customWidth="1"/>
    <col min="11" max="11" width="9.8515625" style="27" customWidth="1"/>
    <col min="12" max="12" width="9.00390625" style="109" customWidth="1"/>
    <col min="13" max="13" width="9.00390625" style="27" customWidth="1"/>
    <col min="14" max="14" width="9.7109375" style="27" customWidth="1"/>
    <col min="15" max="15" width="10.7109375" style="27" customWidth="1"/>
    <col min="16" max="16" width="0.85546875" style="27" customWidth="1"/>
    <col min="17" max="16384" width="9.140625" style="27" customWidth="1"/>
  </cols>
  <sheetData>
    <row r="1" spans="1:12" s="36" customFormat="1" ht="11.25" customHeight="1">
      <c r="A1" s="33"/>
      <c r="B1" s="34"/>
      <c r="C1" s="35"/>
      <c r="F1" s="35"/>
      <c r="I1" s="35"/>
      <c r="J1" s="35"/>
      <c r="K1" s="35"/>
      <c r="L1" s="35"/>
    </row>
    <row r="2" spans="1:12" s="36" customFormat="1" ht="15" customHeight="1">
      <c r="A2" s="33"/>
      <c r="B2" s="34"/>
      <c r="C2" s="35"/>
      <c r="F2" s="35"/>
      <c r="I2" s="35"/>
      <c r="J2" s="35"/>
      <c r="K2" s="36" t="s">
        <v>117</v>
      </c>
      <c r="L2" s="35"/>
    </row>
    <row r="3" spans="1:13" s="36" customFormat="1" ht="15" customHeight="1">
      <c r="A3" s="33"/>
      <c r="B3" s="34"/>
      <c r="C3" s="35"/>
      <c r="D3" s="35"/>
      <c r="F3" s="35"/>
      <c r="G3" s="35"/>
      <c r="I3" s="35"/>
      <c r="J3" s="35"/>
      <c r="K3" s="36" t="s">
        <v>118</v>
      </c>
      <c r="L3" s="35"/>
      <c r="M3" s="35"/>
    </row>
    <row r="4" spans="1:12" s="36" customFormat="1" ht="15" customHeight="1">
      <c r="A4" s="33"/>
      <c r="B4" s="34"/>
      <c r="C4" s="35"/>
      <c r="F4" s="35"/>
      <c r="I4" s="35"/>
      <c r="J4" s="35"/>
      <c r="K4" s="36" t="s">
        <v>119</v>
      </c>
      <c r="L4" s="35"/>
    </row>
    <row r="5" spans="1:12" s="36" customFormat="1" ht="12.75" customHeight="1">
      <c r="A5" s="33"/>
      <c r="B5" s="34"/>
      <c r="C5" s="35"/>
      <c r="F5" s="35"/>
      <c r="I5" s="35"/>
      <c r="J5" s="35"/>
      <c r="L5" s="35"/>
    </row>
    <row r="6" spans="1:11" s="36" customFormat="1" ht="15" customHeight="1">
      <c r="A6" s="33"/>
      <c r="B6" s="146" t="s">
        <v>120</v>
      </c>
      <c r="C6" s="146"/>
      <c r="D6" s="146"/>
      <c r="E6" s="146"/>
      <c r="F6" s="146"/>
      <c r="G6" s="146"/>
      <c r="H6" s="146"/>
      <c r="I6" s="146"/>
      <c r="J6" s="146"/>
      <c r="K6" s="146"/>
    </row>
    <row r="7" spans="1:15" s="36" customFormat="1" ht="11.25" customHeight="1">
      <c r="A7" s="33"/>
      <c r="B7" s="37"/>
      <c r="C7" s="35"/>
      <c r="D7" s="35"/>
      <c r="F7" s="35"/>
      <c r="G7" s="35"/>
      <c r="I7" s="35"/>
      <c r="J7" s="35"/>
      <c r="K7" s="35"/>
      <c r="L7" s="35"/>
      <c r="M7" s="35"/>
      <c r="O7" s="36" t="s">
        <v>121</v>
      </c>
    </row>
    <row r="8" spans="1:15" s="38" customFormat="1" ht="39.75" customHeight="1">
      <c r="A8" s="148" t="s">
        <v>122</v>
      </c>
      <c r="B8" s="149" t="s">
        <v>123</v>
      </c>
      <c r="C8" s="152" t="s">
        <v>124</v>
      </c>
      <c r="D8" s="153"/>
      <c r="E8" s="154"/>
      <c r="F8" s="152" t="s">
        <v>125</v>
      </c>
      <c r="G8" s="153"/>
      <c r="H8" s="154"/>
      <c r="I8" s="152" t="s">
        <v>126</v>
      </c>
      <c r="J8" s="153"/>
      <c r="K8" s="154"/>
      <c r="L8" s="152" t="s">
        <v>127</v>
      </c>
      <c r="M8" s="153"/>
      <c r="N8" s="154"/>
      <c r="O8" s="149" t="s">
        <v>128</v>
      </c>
    </row>
    <row r="9" spans="1:15" s="39" customFormat="1" ht="15" customHeight="1">
      <c r="A9" s="148"/>
      <c r="B9" s="150"/>
      <c r="C9" s="149" t="s">
        <v>129</v>
      </c>
      <c r="D9" s="152" t="s">
        <v>130</v>
      </c>
      <c r="E9" s="154"/>
      <c r="F9" s="149" t="s">
        <v>129</v>
      </c>
      <c r="G9" s="152" t="s">
        <v>130</v>
      </c>
      <c r="H9" s="154"/>
      <c r="I9" s="149" t="s">
        <v>129</v>
      </c>
      <c r="J9" s="152" t="s">
        <v>130</v>
      </c>
      <c r="K9" s="154"/>
      <c r="L9" s="149" t="s">
        <v>129</v>
      </c>
      <c r="M9" s="152" t="s">
        <v>130</v>
      </c>
      <c r="N9" s="154"/>
      <c r="O9" s="150"/>
    </row>
    <row r="10" spans="1:15" s="39" customFormat="1" ht="15" customHeight="1">
      <c r="A10" s="148"/>
      <c r="B10" s="150"/>
      <c r="C10" s="150"/>
      <c r="D10" s="149" t="s">
        <v>131</v>
      </c>
      <c r="E10" s="149" t="s">
        <v>97</v>
      </c>
      <c r="F10" s="150"/>
      <c r="G10" s="149" t="s">
        <v>131</v>
      </c>
      <c r="H10" s="149" t="s">
        <v>97</v>
      </c>
      <c r="I10" s="150"/>
      <c r="J10" s="149" t="s">
        <v>131</v>
      </c>
      <c r="K10" s="149" t="s">
        <v>97</v>
      </c>
      <c r="L10" s="150"/>
      <c r="M10" s="149" t="s">
        <v>131</v>
      </c>
      <c r="N10" s="149" t="s">
        <v>97</v>
      </c>
      <c r="O10" s="150"/>
    </row>
    <row r="11" spans="1:15" s="39" customFormat="1" ht="39" customHeight="1">
      <c r="A11" s="148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s="42" customFormat="1" ht="14.25" customHeight="1">
      <c r="A12" s="40">
        <v>1</v>
      </c>
      <c r="B12" s="41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40">
        <v>15</v>
      </c>
    </row>
    <row r="13" spans="1:15" s="44" customFormat="1" ht="15" customHeight="1">
      <c r="A13" s="43"/>
      <c r="B13" s="155" t="s">
        <v>132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7"/>
    </row>
    <row r="14" spans="1:15" s="47" customFormat="1" ht="15.75" customHeight="1">
      <c r="A14" s="43"/>
      <c r="B14" s="45" t="s">
        <v>133</v>
      </c>
      <c r="C14" s="46">
        <f>C15+C16+C40+C42</f>
        <v>3046700</v>
      </c>
      <c r="D14" s="46">
        <f aca="true" t="shared" si="0" ref="D14:N14">D15+D16+D40+D42</f>
        <v>2338100</v>
      </c>
      <c r="E14" s="46">
        <f t="shared" si="0"/>
        <v>90000</v>
      </c>
      <c r="F14" s="46">
        <f t="shared" si="0"/>
        <v>315626</v>
      </c>
      <c r="G14" s="46">
        <f t="shared" si="0"/>
        <v>259650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167780</v>
      </c>
      <c r="M14" s="46">
        <f t="shared" si="0"/>
        <v>0</v>
      </c>
      <c r="N14" s="46">
        <f t="shared" si="0"/>
        <v>0</v>
      </c>
      <c r="O14" s="43">
        <f aca="true" t="shared" si="1" ref="O14:O45">C14+F14+I14+L14</f>
        <v>3530106</v>
      </c>
    </row>
    <row r="15" spans="1:15" s="44" customFormat="1" ht="15.75" customHeight="1">
      <c r="A15" s="43" t="s">
        <v>7</v>
      </c>
      <c r="B15" s="45" t="s">
        <v>134</v>
      </c>
      <c r="C15" s="46">
        <v>49000</v>
      </c>
      <c r="D15" s="46">
        <v>46500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3">
        <f t="shared" si="1"/>
        <v>49000</v>
      </c>
    </row>
    <row r="16" spans="1:15" s="44" customFormat="1" ht="16.5" customHeight="1">
      <c r="A16" s="43" t="s">
        <v>27</v>
      </c>
      <c r="B16" s="45" t="s">
        <v>135</v>
      </c>
      <c r="C16" s="46">
        <f>SUM(C17:C39)</f>
        <v>2728700</v>
      </c>
      <c r="D16" s="46">
        <f aca="true" t="shared" si="2" ref="D16:N16">SUM(D17:D39)</f>
        <v>2291600</v>
      </c>
      <c r="E16" s="46">
        <f t="shared" si="2"/>
        <v>40000</v>
      </c>
      <c r="F16" s="46">
        <f t="shared" si="2"/>
        <v>315626</v>
      </c>
      <c r="G16" s="46">
        <f t="shared" si="2"/>
        <v>259650</v>
      </c>
      <c r="H16" s="46">
        <f t="shared" si="2"/>
        <v>0</v>
      </c>
      <c r="I16" s="46">
        <f t="shared" si="2"/>
        <v>0</v>
      </c>
      <c r="J16" s="46">
        <f t="shared" si="2"/>
        <v>0</v>
      </c>
      <c r="K16" s="46">
        <f t="shared" si="2"/>
        <v>0</v>
      </c>
      <c r="L16" s="46">
        <f>SUM(L17:L39)</f>
        <v>167780</v>
      </c>
      <c r="M16" s="46">
        <f t="shared" si="2"/>
        <v>0</v>
      </c>
      <c r="N16" s="46">
        <f t="shared" si="2"/>
        <v>0</v>
      </c>
      <c r="O16" s="43">
        <f t="shared" si="1"/>
        <v>3212106</v>
      </c>
    </row>
    <row r="17" spans="1:15" s="36" customFormat="1" ht="15" customHeight="1">
      <c r="A17" s="48" t="s">
        <v>29</v>
      </c>
      <c r="B17" s="49" t="s">
        <v>136</v>
      </c>
      <c r="C17" s="43">
        <f>286700-7000</f>
        <v>279700</v>
      </c>
      <c r="D17" s="50">
        <f>160800+83000</f>
        <v>243800</v>
      </c>
      <c r="E17" s="50"/>
      <c r="F17" s="43"/>
      <c r="G17" s="50"/>
      <c r="H17" s="50"/>
      <c r="I17" s="43"/>
      <c r="J17" s="43"/>
      <c r="K17" s="50"/>
      <c r="L17" s="43"/>
      <c r="M17" s="50"/>
      <c r="N17" s="50"/>
      <c r="O17" s="43">
        <f t="shared" si="1"/>
        <v>279700</v>
      </c>
    </row>
    <row r="18" spans="1:15" s="36" customFormat="1" ht="15" customHeight="1">
      <c r="A18" s="48" t="s">
        <v>31</v>
      </c>
      <c r="B18" s="49" t="s">
        <v>137</v>
      </c>
      <c r="C18" s="43">
        <v>7000</v>
      </c>
      <c r="D18" s="50"/>
      <c r="E18" s="50"/>
      <c r="F18" s="43"/>
      <c r="G18" s="50"/>
      <c r="H18" s="50"/>
      <c r="I18" s="43"/>
      <c r="J18" s="43"/>
      <c r="K18" s="50"/>
      <c r="L18" s="43"/>
      <c r="M18" s="50"/>
      <c r="N18" s="50"/>
      <c r="O18" s="43">
        <f t="shared" si="1"/>
        <v>7000</v>
      </c>
    </row>
    <row r="19" spans="1:15" s="36" customFormat="1" ht="29.25" customHeight="1">
      <c r="A19" s="48" t="s">
        <v>33</v>
      </c>
      <c r="B19" s="49" t="s">
        <v>138</v>
      </c>
      <c r="C19" s="43">
        <f>1364300+251900</f>
        <v>1616200</v>
      </c>
      <c r="D19" s="50">
        <f>1158800+226600</f>
        <v>1385400</v>
      </c>
      <c r="E19" s="50">
        <v>10000</v>
      </c>
      <c r="F19" s="43">
        <v>75926</v>
      </c>
      <c r="G19" s="50">
        <v>55640</v>
      </c>
      <c r="H19" s="50"/>
      <c r="I19" s="51"/>
      <c r="J19" s="43"/>
      <c r="K19" s="50"/>
      <c r="L19" s="43">
        <f>5000+40000+90000</f>
        <v>135000</v>
      </c>
      <c r="M19" s="50"/>
      <c r="N19" s="50"/>
      <c r="O19" s="43">
        <f t="shared" si="1"/>
        <v>1827126</v>
      </c>
    </row>
    <row r="20" spans="1:15" s="36" customFormat="1" ht="15" customHeight="1">
      <c r="A20" s="48" t="s">
        <v>35</v>
      </c>
      <c r="B20" s="49" t="s">
        <v>139</v>
      </c>
      <c r="C20" s="43"/>
      <c r="D20" s="50"/>
      <c r="E20" s="52"/>
      <c r="F20" s="43">
        <v>7100</v>
      </c>
      <c r="G20" s="50">
        <v>6600</v>
      </c>
      <c r="H20" s="50"/>
      <c r="I20" s="51"/>
      <c r="J20" s="51"/>
      <c r="K20" s="52"/>
      <c r="L20" s="51"/>
      <c r="M20" s="52"/>
      <c r="N20" s="52"/>
      <c r="O20" s="43">
        <f t="shared" si="1"/>
        <v>7100</v>
      </c>
    </row>
    <row r="21" spans="1:15" s="36" customFormat="1" ht="15" customHeight="1">
      <c r="A21" s="48" t="s">
        <v>37</v>
      </c>
      <c r="B21" s="49" t="s">
        <v>140</v>
      </c>
      <c r="C21" s="43"/>
      <c r="D21" s="50"/>
      <c r="E21" s="52"/>
      <c r="F21" s="43">
        <v>19600</v>
      </c>
      <c r="G21" s="50">
        <v>13900</v>
      </c>
      <c r="H21" s="50"/>
      <c r="I21" s="51"/>
      <c r="J21" s="51"/>
      <c r="K21" s="52"/>
      <c r="L21" s="51"/>
      <c r="M21" s="52"/>
      <c r="N21" s="52"/>
      <c r="O21" s="43">
        <f t="shared" si="1"/>
        <v>19600</v>
      </c>
    </row>
    <row r="22" spans="1:15" s="36" customFormat="1" ht="15" customHeight="1">
      <c r="A22" s="48" t="s">
        <v>39</v>
      </c>
      <c r="B22" s="49" t="s">
        <v>141</v>
      </c>
      <c r="C22" s="43"/>
      <c r="D22" s="50"/>
      <c r="E22" s="52"/>
      <c r="F22" s="43">
        <v>177100</v>
      </c>
      <c r="G22" s="50">
        <v>157100</v>
      </c>
      <c r="H22" s="50"/>
      <c r="I22" s="51"/>
      <c r="J22" s="51"/>
      <c r="K22" s="52"/>
      <c r="L22" s="51"/>
      <c r="M22" s="52"/>
      <c r="N22" s="52"/>
      <c r="O22" s="43">
        <f t="shared" si="1"/>
        <v>177100</v>
      </c>
    </row>
    <row r="23" spans="1:15" s="36" customFormat="1" ht="15" customHeight="1">
      <c r="A23" s="48" t="s">
        <v>41</v>
      </c>
      <c r="B23" s="49" t="s">
        <v>142</v>
      </c>
      <c r="C23" s="43"/>
      <c r="D23" s="50"/>
      <c r="E23" s="52"/>
      <c r="F23" s="43">
        <v>12400</v>
      </c>
      <c r="G23" s="50">
        <v>8800</v>
      </c>
      <c r="H23" s="50"/>
      <c r="I23" s="51"/>
      <c r="J23" s="51"/>
      <c r="K23" s="52"/>
      <c r="L23" s="51"/>
      <c r="M23" s="52"/>
      <c r="N23" s="52"/>
      <c r="O23" s="43">
        <f t="shared" si="1"/>
        <v>12400</v>
      </c>
    </row>
    <row r="24" spans="1:15" s="36" customFormat="1" ht="28.5" customHeight="1">
      <c r="A24" s="48" t="s">
        <v>43</v>
      </c>
      <c r="B24" s="49" t="s">
        <v>143</v>
      </c>
      <c r="C24" s="43"/>
      <c r="D24" s="50"/>
      <c r="E24" s="52"/>
      <c r="F24" s="43">
        <v>6200</v>
      </c>
      <c r="G24" s="50">
        <v>6110</v>
      </c>
      <c r="H24" s="50"/>
      <c r="I24" s="51"/>
      <c r="J24" s="51"/>
      <c r="K24" s="52"/>
      <c r="L24" s="51"/>
      <c r="M24" s="52"/>
      <c r="N24" s="52"/>
      <c r="O24" s="43">
        <f t="shared" si="1"/>
        <v>6200</v>
      </c>
    </row>
    <row r="25" spans="1:15" s="36" customFormat="1" ht="15" customHeight="1">
      <c r="A25" s="53" t="s">
        <v>45</v>
      </c>
      <c r="B25" s="49" t="s">
        <v>144</v>
      </c>
      <c r="C25" s="43"/>
      <c r="D25" s="50"/>
      <c r="E25" s="52"/>
      <c r="F25" s="43">
        <v>3800</v>
      </c>
      <c r="G25" s="50"/>
      <c r="H25" s="50"/>
      <c r="I25" s="51"/>
      <c r="J25" s="51"/>
      <c r="K25" s="52"/>
      <c r="L25" s="51"/>
      <c r="M25" s="52"/>
      <c r="N25" s="52"/>
      <c r="O25" s="43">
        <f>C25+F25+I25+L25</f>
        <v>3800</v>
      </c>
    </row>
    <row r="26" spans="1:15" s="36" customFormat="1" ht="15" customHeight="1">
      <c r="A26" s="54" t="s">
        <v>145</v>
      </c>
      <c r="B26" s="49" t="s">
        <v>146</v>
      </c>
      <c r="C26" s="43"/>
      <c r="D26" s="50"/>
      <c r="E26" s="50"/>
      <c r="F26" s="43">
        <v>13500</v>
      </c>
      <c r="G26" s="50">
        <v>11500</v>
      </c>
      <c r="H26" s="50"/>
      <c r="I26" s="43"/>
      <c r="J26" s="43"/>
      <c r="K26" s="50"/>
      <c r="L26" s="43"/>
      <c r="M26" s="50"/>
      <c r="N26" s="52"/>
      <c r="O26" s="43">
        <f t="shared" si="1"/>
        <v>13500</v>
      </c>
    </row>
    <row r="27" spans="1:15" s="36" customFormat="1" ht="15" customHeight="1">
      <c r="A27" s="53" t="s">
        <v>147</v>
      </c>
      <c r="B27" s="49" t="s">
        <v>148</v>
      </c>
      <c r="C27" s="43">
        <v>68100</v>
      </c>
      <c r="D27" s="50">
        <v>60620</v>
      </c>
      <c r="E27" s="50"/>
      <c r="F27" s="50"/>
      <c r="G27" s="50"/>
      <c r="H27" s="50"/>
      <c r="I27" s="50"/>
      <c r="J27" s="50"/>
      <c r="K27" s="50"/>
      <c r="L27" s="43">
        <v>2070</v>
      </c>
      <c r="M27" s="50"/>
      <c r="N27" s="52"/>
      <c r="O27" s="43">
        <f t="shared" si="1"/>
        <v>70170</v>
      </c>
    </row>
    <row r="28" spans="1:15" s="36" customFormat="1" ht="15" customHeight="1">
      <c r="A28" s="53" t="s">
        <v>149</v>
      </c>
      <c r="B28" s="49" t="s">
        <v>150</v>
      </c>
      <c r="C28" s="43">
        <v>57000</v>
      </c>
      <c r="D28" s="50">
        <v>49000</v>
      </c>
      <c r="E28" s="50"/>
      <c r="F28" s="50"/>
      <c r="G28" s="50"/>
      <c r="H28" s="50"/>
      <c r="I28" s="50"/>
      <c r="J28" s="50"/>
      <c r="K28" s="50"/>
      <c r="L28" s="43"/>
      <c r="M28" s="50"/>
      <c r="N28" s="52"/>
      <c r="O28" s="43">
        <f t="shared" si="1"/>
        <v>57000</v>
      </c>
    </row>
    <row r="29" spans="1:15" s="36" customFormat="1" ht="15" customHeight="1">
      <c r="A29" s="53" t="s">
        <v>151</v>
      </c>
      <c r="B29" s="49" t="s">
        <v>152</v>
      </c>
      <c r="C29" s="43">
        <v>41500</v>
      </c>
      <c r="D29" s="50">
        <v>32130</v>
      </c>
      <c r="E29" s="50"/>
      <c r="F29" s="50"/>
      <c r="G29" s="50"/>
      <c r="H29" s="50"/>
      <c r="I29" s="50"/>
      <c r="J29" s="50"/>
      <c r="K29" s="50"/>
      <c r="L29" s="43">
        <v>630</v>
      </c>
      <c r="M29" s="50"/>
      <c r="N29" s="52"/>
      <c r="O29" s="43">
        <f t="shared" si="1"/>
        <v>42130</v>
      </c>
    </row>
    <row r="30" spans="1:15" s="35" customFormat="1" ht="15" customHeight="1">
      <c r="A30" s="53" t="s">
        <v>153</v>
      </c>
      <c r="B30" s="49" t="s">
        <v>154</v>
      </c>
      <c r="C30" s="43">
        <v>66100</v>
      </c>
      <c r="D30" s="50">
        <v>58050</v>
      </c>
      <c r="E30" s="50"/>
      <c r="F30" s="50"/>
      <c r="G30" s="50"/>
      <c r="H30" s="50"/>
      <c r="I30" s="50"/>
      <c r="J30" s="50"/>
      <c r="K30" s="50"/>
      <c r="L30" s="43">
        <v>100</v>
      </c>
      <c r="M30" s="50"/>
      <c r="N30" s="52"/>
      <c r="O30" s="43">
        <f t="shared" si="1"/>
        <v>66200</v>
      </c>
    </row>
    <row r="31" spans="1:15" s="36" customFormat="1" ht="15" customHeight="1">
      <c r="A31" s="53" t="s">
        <v>155</v>
      </c>
      <c r="B31" s="49" t="s">
        <v>156</v>
      </c>
      <c r="C31" s="43">
        <v>94000</v>
      </c>
      <c r="D31" s="50">
        <v>78370</v>
      </c>
      <c r="E31" s="50"/>
      <c r="F31" s="50"/>
      <c r="G31" s="50"/>
      <c r="H31" s="50"/>
      <c r="I31" s="50"/>
      <c r="J31" s="50"/>
      <c r="K31" s="50"/>
      <c r="L31" s="43">
        <f>2750+19000</f>
        <v>21750</v>
      </c>
      <c r="M31" s="50"/>
      <c r="N31" s="52"/>
      <c r="O31" s="43">
        <f t="shared" si="1"/>
        <v>115750</v>
      </c>
    </row>
    <row r="32" spans="1:15" s="36" customFormat="1" ht="15" customHeight="1">
      <c r="A32" s="53" t="s">
        <v>157</v>
      </c>
      <c r="B32" s="49" t="s">
        <v>158</v>
      </c>
      <c r="C32" s="43">
        <v>66700</v>
      </c>
      <c r="D32" s="50">
        <v>59330</v>
      </c>
      <c r="E32" s="50"/>
      <c r="F32" s="50"/>
      <c r="G32" s="50"/>
      <c r="H32" s="50"/>
      <c r="I32" s="50"/>
      <c r="J32" s="50"/>
      <c r="K32" s="50"/>
      <c r="L32" s="43">
        <v>490</v>
      </c>
      <c r="M32" s="50"/>
      <c r="N32" s="52"/>
      <c r="O32" s="43">
        <f t="shared" si="1"/>
        <v>67190</v>
      </c>
    </row>
    <row r="33" spans="1:15" s="36" customFormat="1" ht="15" customHeight="1">
      <c r="A33" s="53" t="s">
        <v>159</v>
      </c>
      <c r="B33" s="49" t="s">
        <v>160</v>
      </c>
      <c r="C33" s="43">
        <v>54200</v>
      </c>
      <c r="D33" s="50">
        <v>47600</v>
      </c>
      <c r="E33" s="50"/>
      <c r="F33" s="50"/>
      <c r="G33" s="50"/>
      <c r="H33" s="50"/>
      <c r="I33" s="50"/>
      <c r="J33" s="50"/>
      <c r="K33" s="50"/>
      <c r="L33" s="43">
        <v>1160</v>
      </c>
      <c r="M33" s="50"/>
      <c r="N33" s="52"/>
      <c r="O33" s="43">
        <f t="shared" si="1"/>
        <v>55360</v>
      </c>
    </row>
    <row r="34" spans="1:15" s="36" customFormat="1" ht="15" customHeight="1">
      <c r="A34" s="53" t="s">
        <v>161</v>
      </c>
      <c r="B34" s="49" t="s">
        <v>162</v>
      </c>
      <c r="C34" s="43">
        <v>61900</v>
      </c>
      <c r="D34" s="50">
        <v>55200</v>
      </c>
      <c r="E34" s="50"/>
      <c r="F34" s="50"/>
      <c r="G34" s="50"/>
      <c r="H34" s="50"/>
      <c r="I34" s="50"/>
      <c r="J34" s="50"/>
      <c r="K34" s="50"/>
      <c r="L34" s="43"/>
      <c r="M34" s="50"/>
      <c r="N34" s="52"/>
      <c r="O34" s="43">
        <f t="shared" si="1"/>
        <v>61900</v>
      </c>
    </row>
    <row r="35" spans="1:15" s="36" customFormat="1" ht="15" customHeight="1">
      <c r="A35" s="53" t="s">
        <v>163</v>
      </c>
      <c r="B35" s="49" t="s">
        <v>164</v>
      </c>
      <c r="C35" s="43">
        <v>63700</v>
      </c>
      <c r="D35" s="50">
        <v>56880</v>
      </c>
      <c r="E35" s="50"/>
      <c r="F35" s="50"/>
      <c r="G35" s="50"/>
      <c r="H35" s="50"/>
      <c r="I35" s="50"/>
      <c r="J35" s="50"/>
      <c r="K35" s="50"/>
      <c r="L35" s="43">
        <v>470</v>
      </c>
      <c r="M35" s="50"/>
      <c r="N35" s="52"/>
      <c r="O35" s="43">
        <f t="shared" si="1"/>
        <v>64170</v>
      </c>
    </row>
    <row r="36" spans="1:15" s="36" customFormat="1" ht="15" customHeight="1">
      <c r="A36" s="53" t="s">
        <v>165</v>
      </c>
      <c r="B36" s="49" t="s">
        <v>166</v>
      </c>
      <c r="C36" s="43">
        <v>68800</v>
      </c>
      <c r="D36" s="50">
        <v>61900</v>
      </c>
      <c r="E36" s="50"/>
      <c r="F36" s="50"/>
      <c r="G36" s="50"/>
      <c r="H36" s="50"/>
      <c r="I36" s="50"/>
      <c r="J36" s="50"/>
      <c r="K36" s="50"/>
      <c r="L36" s="43">
        <v>5370</v>
      </c>
      <c r="M36" s="50"/>
      <c r="N36" s="52"/>
      <c r="O36" s="43">
        <f t="shared" si="1"/>
        <v>74170</v>
      </c>
    </row>
    <row r="37" spans="1:15" s="36" customFormat="1" ht="15" customHeight="1">
      <c r="A37" s="53" t="s">
        <v>167</v>
      </c>
      <c r="B37" s="49" t="s">
        <v>168</v>
      </c>
      <c r="C37" s="43">
        <v>59200</v>
      </c>
      <c r="D37" s="50">
        <v>49000</v>
      </c>
      <c r="E37" s="50"/>
      <c r="F37" s="50"/>
      <c r="G37" s="50"/>
      <c r="H37" s="50"/>
      <c r="I37" s="50"/>
      <c r="J37" s="50"/>
      <c r="K37" s="50"/>
      <c r="L37" s="43">
        <v>740</v>
      </c>
      <c r="M37" s="50"/>
      <c r="N37" s="52"/>
      <c r="O37" s="43">
        <f>C37+F37+I37+L37</f>
        <v>59940</v>
      </c>
    </row>
    <row r="38" spans="1:15" s="36" customFormat="1" ht="15.75" customHeight="1">
      <c r="A38" s="53" t="s">
        <v>169</v>
      </c>
      <c r="B38" s="55" t="s">
        <v>170</v>
      </c>
      <c r="C38" s="43">
        <v>64600</v>
      </c>
      <c r="D38" s="50">
        <v>54320</v>
      </c>
      <c r="E38" s="50"/>
      <c r="F38" s="50"/>
      <c r="G38" s="50"/>
      <c r="H38" s="50"/>
      <c r="I38" s="50"/>
      <c r="J38" s="50"/>
      <c r="K38" s="50"/>
      <c r="L38" s="43"/>
      <c r="M38" s="50"/>
      <c r="N38" s="52"/>
      <c r="O38" s="43">
        <f t="shared" si="1"/>
        <v>64600</v>
      </c>
    </row>
    <row r="39" spans="1:15" s="35" customFormat="1" ht="29.25" customHeight="1">
      <c r="A39" s="53" t="s">
        <v>171</v>
      </c>
      <c r="B39" s="49" t="s">
        <v>172</v>
      </c>
      <c r="C39" s="43">
        <v>60000</v>
      </c>
      <c r="D39" s="50"/>
      <c r="E39" s="50">
        <v>30000</v>
      </c>
      <c r="F39" s="50"/>
      <c r="G39" s="50"/>
      <c r="H39" s="50"/>
      <c r="I39" s="50"/>
      <c r="J39" s="50"/>
      <c r="K39" s="50"/>
      <c r="L39" s="50"/>
      <c r="M39" s="50"/>
      <c r="N39" s="51"/>
      <c r="O39" s="43">
        <f t="shared" si="1"/>
        <v>60000</v>
      </c>
    </row>
    <row r="40" spans="1:15" s="56" customFormat="1" ht="27" customHeight="1">
      <c r="A40" s="43" t="s">
        <v>47</v>
      </c>
      <c r="B40" s="45" t="s">
        <v>173</v>
      </c>
      <c r="C40" s="43">
        <f aca="true" t="shared" si="3" ref="C40:I40">SUM(C41:C41)</f>
        <v>53000</v>
      </c>
      <c r="D40" s="43">
        <f t="shared" si="3"/>
        <v>0</v>
      </c>
      <c r="E40" s="43">
        <f t="shared" si="3"/>
        <v>0</v>
      </c>
      <c r="F40" s="43">
        <f t="shared" si="3"/>
        <v>0</v>
      </c>
      <c r="G40" s="43">
        <f t="shared" si="3"/>
        <v>0</v>
      </c>
      <c r="H40" s="43">
        <f t="shared" si="3"/>
        <v>0</v>
      </c>
      <c r="I40" s="43">
        <f t="shared" si="3"/>
        <v>0</v>
      </c>
      <c r="J40" s="43"/>
      <c r="K40" s="43">
        <f>SUM(K41:K41)</f>
        <v>0</v>
      </c>
      <c r="L40" s="43">
        <f>SUM(L41:L41)</f>
        <v>0</v>
      </c>
      <c r="M40" s="43">
        <f>SUM(M41:M41)</f>
        <v>0</v>
      </c>
      <c r="N40" s="51">
        <f>SUM(N41:N41)</f>
        <v>0</v>
      </c>
      <c r="O40" s="43">
        <f t="shared" si="1"/>
        <v>53000</v>
      </c>
    </row>
    <row r="41" spans="1:15" s="60" customFormat="1" ht="15" customHeight="1">
      <c r="A41" s="57" t="s">
        <v>49</v>
      </c>
      <c r="B41" s="58" t="s">
        <v>174</v>
      </c>
      <c r="C41" s="50">
        <v>53000</v>
      </c>
      <c r="D41" s="59"/>
      <c r="E41" s="52"/>
      <c r="F41" s="59"/>
      <c r="G41" s="59"/>
      <c r="H41" s="59"/>
      <c r="I41" s="59"/>
      <c r="J41" s="59"/>
      <c r="K41" s="59"/>
      <c r="L41" s="59"/>
      <c r="M41" s="59"/>
      <c r="N41" s="59"/>
      <c r="O41" s="43">
        <f t="shared" si="1"/>
        <v>53000</v>
      </c>
    </row>
    <row r="42" spans="1:15" s="56" customFormat="1" ht="15" customHeight="1">
      <c r="A42" s="43" t="s">
        <v>65</v>
      </c>
      <c r="B42" s="45" t="s">
        <v>135</v>
      </c>
      <c r="C42" s="43">
        <f aca="true" t="shared" si="4" ref="C42:I42">SUM(C43:C45)</f>
        <v>216000</v>
      </c>
      <c r="D42" s="43">
        <f t="shared" si="4"/>
        <v>0</v>
      </c>
      <c r="E42" s="43">
        <f t="shared" si="4"/>
        <v>50000</v>
      </c>
      <c r="F42" s="43">
        <f t="shared" si="4"/>
        <v>0</v>
      </c>
      <c r="G42" s="43">
        <f t="shared" si="4"/>
        <v>0</v>
      </c>
      <c r="H42" s="43">
        <f t="shared" si="4"/>
        <v>0</v>
      </c>
      <c r="I42" s="51">
        <f t="shared" si="4"/>
        <v>0</v>
      </c>
      <c r="J42" s="51"/>
      <c r="K42" s="51">
        <f>SUM(K43:K45)</f>
        <v>0</v>
      </c>
      <c r="L42" s="51">
        <f>SUM(L43:L45)</f>
        <v>0</v>
      </c>
      <c r="M42" s="51">
        <f>SUM(M43:M45)</f>
        <v>0</v>
      </c>
      <c r="N42" s="51">
        <f>SUM(N43:N45)</f>
        <v>0</v>
      </c>
      <c r="O42" s="43">
        <f t="shared" si="1"/>
        <v>216000</v>
      </c>
    </row>
    <row r="43" spans="1:15" s="60" customFormat="1" ht="15" customHeight="1">
      <c r="A43" s="48" t="s">
        <v>101</v>
      </c>
      <c r="B43" s="58" t="s">
        <v>175</v>
      </c>
      <c r="C43" s="50">
        <v>4000</v>
      </c>
      <c r="D43" s="61"/>
      <c r="E43" s="61"/>
      <c r="F43" s="61"/>
      <c r="G43" s="61"/>
      <c r="H43" s="61"/>
      <c r="I43" s="59"/>
      <c r="J43" s="59"/>
      <c r="K43" s="59"/>
      <c r="L43" s="59"/>
      <c r="M43" s="59"/>
      <c r="N43" s="59"/>
      <c r="O43" s="43">
        <f t="shared" si="1"/>
        <v>4000</v>
      </c>
    </row>
    <row r="44" spans="1:15" s="60" customFormat="1" ht="15" customHeight="1">
      <c r="A44" s="57" t="s">
        <v>102</v>
      </c>
      <c r="B44" s="58" t="s">
        <v>176</v>
      </c>
      <c r="C44" s="50">
        <v>8000</v>
      </c>
      <c r="D44" s="61"/>
      <c r="E44" s="61"/>
      <c r="F44" s="61"/>
      <c r="G44" s="61"/>
      <c r="H44" s="61"/>
      <c r="I44" s="59"/>
      <c r="J44" s="59"/>
      <c r="K44" s="59"/>
      <c r="L44" s="59"/>
      <c r="M44" s="59"/>
      <c r="N44" s="59"/>
      <c r="O44" s="43">
        <f>C44+F44+I44+L44</f>
        <v>8000</v>
      </c>
    </row>
    <row r="45" spans="1:15" s="60" customFormat="1" ht="59.25" customHeight="1">
      <c r="A45" s="57" t="s">
        <v>103</v>
      </c>
      <c r="B45" s="58" t="s">
        <v>177</v>
      </c>
      <c r="C45" s="50">
        <v>204000</v>
      </c>
      <c r="D45" s="61"/>
      <c r="E45" s="50">
        <v>50000</v>
      </c>
      <c r="F45" s="61"/>
      <c r="G45" s="61"/>
      <c r="H45" s="61"/>
      <c r="I45" s="59"/>
      <c r="J45" s="59"/>
      <c r="K45" s="59"/>
      <c r="L45" s="59"/>
      <c r="M45" s="59"/>
      <c r="N45" s="59"/>
      <c r="O45" s="43">
        <f t="shared" si="1"/>
        <v>204000</v>
      </c>
    </row>
    <row r="46" spans="1:15" s="63" customFormat="1" ht="15" customHeight="1">
      <c r="A46" s="62"/>
      <c r="B46" s="155" t="s">
        <v>178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7"/>
    </row>
    <row r="47" spans="1:15" s="64" customFormat="1" ht="15" customHeight="1">
      <c r="A47" s="50"/>
      <c r="B47" s="45" t="s">
        <v>133</v>
      </c>
      <c r="C47" s="46">
        <f>C48</f>
        <v>26700</v>
      </c>
      <c r="D47" s="46">
        <f aca="true" t="shared" si="5" ref="D47:N47">D48</f>
        <v>0</v>
      </c>
      <c r="E47" s="46">
        <f t="shared" si="5"/>
        <v>0</v>
      </c>
      <c r="F47" s="46">
        <f t="shared" si="5"/>
        <v>257000</v>
      </c>
      <c r="G47" s="46">
        <f t="shared" si="5"/>
        <v>0</v>
      </c>
      <c r="H47" s="46">
        <f t="shared" si="5"/>
        <v>0</v>
      </c>
      <c r="I47" s="46">
        <f t="shared" si="5"/>
        <v>0</v>
      </c>
      <c r="J47" s="46"/>
      <c r="K47" s="46">
        <f t="shared" si="5"/>
        <v>0</v>
      </c>
      <c r="L47" s="46">
        <f t="shared" si="5"/>
        <v>0</v>
      </c>
      <c r="M47" s="46">
        <f t="shared" si="5"/>
        <v>0</v>
      </c>
      <c r="N47" s="46">
        <f t="shared" si="5"/>
        <v>0</v>
      </c>
      <c r="O47" s="43">
        <f>C47+F47+I47+L47</f>
        <v>283700</v>
      </c>
    </row>
    <row r="48" spans="1:15" s="64" customFormat="1" ht="15.75" customHeight="1">
      <c r="A48" s="43" t="s">
        <v>67</v>
      </c>
      <c r="B48" s="45" t="s">
        <v>135</v>
      </c>
      <c r="C48" s="46">
        <f>SUM(C50,C51)</f>
        <v>26700</v>
      </c>
      <c r="D48" s="46">
        <f>SUM(D51)</f>
        <v>0</v>
      </c>
      <c r="E48" s="46">
        <f>SUM(E51)</f>
        <v>0</v>
      </c>
      <c r="F48" s="46">
        <f aca="true" t="shared" si="6" ref="F48:N48">SUM(F49)</f>
        <v>257000</v>
      </c>
      <c r="G48" s="46">
        <f t="shared" si="6"/>
        <v>0</v>
      </c>
      <c r="H48" s="46">
        <f t="shared" si="6"/>
        <v>0</v>
      </c>
      <c r="I48" s="46">
        <f t="shared" si="6"/>
        <v>0</v>
      </c>
      <c r="J48" s="46"/>
      <c r="K48" s="46">
        <f t="shared" si="6"/>
        <v>0</v>
      </c>
      <c r="L48" s="46">
        <f t="shared" si="6"/>
        <v>0</v>
      </c>
      <c r="M48" s="46">
        <f t="shared" si="6"/>
        <v>0</v>
      </c>
      <c r="N48" s="46">
        <f t="shared" si="6"/>
        <v>0</v>
      </c>
      <c r="O48" s="43">
        <f>C48+F48+I48+L48</f>
        <v>283700</v>
      </c>
    </row>
    <row r="49" spans="1:15" s="66" customFormat="1" ht="15" customHeight="1">
      <c r="A49" s="57" t="s">
        <v>69</v>
      </c>
      <c r="B49" s="58" t="s">
        <v>179</v>
      </c>
      <c r="C49" s="58"/>
      <c r="D49" s="58"/>
      <c r="E49" s="58"/>
      <c r="F49" s="65">
        <v>257000</v>
      </c>
      <c r="G49" s="65"/>
      <c r="H49" s="65"/>
      <c r="I49" s="58"/>
      <c r="J49" s="58"/>
      <c r="K49" s="58"/>
      <c r="L49" s="58"/>
      <c r="M49" s="58"/>
      <c r="N49" s="58"/>
      <c r="O49" s="43">
        <f>C49+F49+I49+L49</f>
        <v>257000</v>
      </c>
    </row>
    <row r="50" spans="1:15" s="66" customFormat="1" ht="15" customHeight="1">
      <c r="A50" s="57" t="s">
        <v>71</v>
      </c>
      <c r="B50" s="58" t="s">
        <v>180</v>
      </c>
      <c r="C50" s="65">
        <v>10000</v>
      </c>
      <c r="D50" s="58"/>
      <c r="E50" s="58"/>
      <c r="F50" s="65"/>
      <c r="G50" s="65"/>
      <c r="H50" s="65"/>
      <c r="I50" s="58"/>
      <c r="J50" s="58"/>
      <c r="K50" s="58"/>
      <c r="L50" s="58"/>
      <c r="M50" s="58"/>
      <c r="N50" s="58"/>
      <c r="O50" s="43">
        <f>C50+F50+I50+L50</f>
        <v>10000</v>
      </c>
    </row>
    <row r="51" spans="1:15" s="68" customFormat="1" ht="15" customHeight="1">
      <c r="A51" s="67" t="s">
        <v>73</v>
      </c>
      <c r="B51" s="34" t="s">
        <v>181</v>
      </c>
      <c r="C51" s="50">
        <v>16700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43">
        <f>C51+F51+I51+L51</f>
        <v>16700</v>
      </c>
    </row>
    <row r="52" spans="1:15" s="68" customFormat="1" ht="15" customHeight="1">
      <c r="A52" s="69"/>
      <c r="B52" s="155" t="s">
        <v>182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7"/>
    </row>
    <row r="53" spans="1:15" s="60" customFormat="1" ht="15.75" customHeight="1">
      <c r="A53" s="50"/>
      <c r="B53" s="45" t="s">
        <v>133</v>
      </c>
      <c r="C53" s="46">
        <f>C54</f>
        <v>81900</v>
      </c>
      <c r="D53" s="46">
        <f aca="true" t="shared" si="7" ref="D53:N53">D54</f>
        <v>28500</v>
      </c>
      <c r="E53" s="46">
        <f t="shared" si="7"/>
        <v>0</v>
      </c>
      <c r="F53" s="46">
        <f t="shared" si="7"/>
        <v>490849</v>
      </c>
      <c r="G53" s="46">
        <f t="shared" si="7"/>
        <v>0</v>
      </c>
      <c r="H53" s="46">
        <f t="shared" si="7"/>
        <v>433711</v>
      </c>
      <c r="I53" s="46">
        <f t="shared" si="7"/>
        <v>0</v>
      </c>
      <c r="J53" s="46">
        <f t="shared" si="7"/>
        <v>0</v>
      </c>
      <c r="K53" s="46">
        <f t="shared" si="7"/>
        <v>0</v>
      </c>
      <c r="L53" s="46">
        <f t="shared" si="7"/>
        <v>0</v>
      </c>
      <c r="M53" s="46">
        <f t="shared" si="7"/>
        <v>0</v>
      </c>
      <c r="N53" s="46">
        <f t="shared" si="7"/>
        <v>0</v>
      </c>
      <c r="O53" s="43">
        <f aca="true" t="shared" si="8" ref="O53:O58">C53+F53+I53+L53</f>
        <v>572749</v>
      </c>
    </row>
    <row r="54" spans="1:15" s="36" customFormat="1" ht="15" customHeight="1">
      <c r="A54" s="43" t="s">
        <v>106</v>
      </c>
      <c r="B54" s="45" t="s">
        <v>135</v>
      </c>
      <c r="C54" s="43">
        <f>SUM(C55:C61)</f>
        <v>81900</v>
      </c>
      <c r="D54" s="43">
        <f>SUM(D55:D61)</f>
        <v>28500</v>
      </c>
      <c r="E54" s="43">
        <f aca="true" t="shared" si="9" ref="E54:N54">SUM(E55:E61)</f>
        <v>0</v>
      </c>
      <c r="F54" s="43">
        <f t="shared" si="9"/>
        <v>490849</v>
      </c>
      <c r="G54" s="43">
        <f t="shared" si="9"/>
        <v>0</v>
      </c>
      <c r="H54" s="43">
        <f t="shared" si="9"/>
        <v>433711</v>
      </c>
      <c r="I54" s="43">
        <f t="shared" si="9"/>
        <v>0</v>
      </c>
      <c r="J54" s="43">
        <f t="shared" si="9"/>
        <v>0</v>
      </c>
      <c r="K54" s="43">
        <f t="shared" si="9"/>
        <v>0</v>
      </c>
      <c r="L54" s="43">
        <f t="shared" si="9"/>
        <v>0</v>
      </c>
      <c r="M54" s="43">
        <f t="shared" si="9"/>
        <v>0</v>
      </c>
      <c r="N54" s="43">
        <f t="shared" si="9"/>
        <v>0</v>
      </c>
      <c r="O54" s="43">
        <f t="shared" si="8"/>
        <v>572749</v>
      </c>
    </row>
    <row r="55" spans="1:15" s="36" customFormat="1" ht="15" customHeight="1">
      <c r="A55" s="57" t="s">
        <v>108</v>
      </c>
      <c r="B55" s="70" t="s">
        <v>183</v>
      </c>
      <c r="C55" s="50">
        <v>56900</v>
      </c>
      <c r="D55" s="50">
        <v>28500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43">
        <f t="shared" si="8"/>
        <v>56900</v>
      </c>
    </row>
    <row r="56" spans="1:15" s="36" customFormat="1" ht="15" customHeight="1">
      <c r="A56" s="48" t="s">
        <v>109</v>
      </c>
      <c r="B56" s="70" t="s">
        <v>184</v>
      </c>
      <c r="C56" s="50">
        <v>10000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43">
        <f t="shared" si="8"/>
        <v>10000</v>
      </c>
    </row>
    <row r="57" spans="1:15" s="36" customFormat="1" ht="15" customHeight="1">
      <c r="A57" s="71" t="s">
        <v>110</v>
      </c>
      <c r="B57" s="49" t="s">
        <v>185</v>
      </c>
      <c r="C57" s="72">
        <v>15000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3">
        <f t="shared" si="8"/>
        <v>15000</v>
      </c>
    </row>
    <row r="58" spans="1:15" s="36" customFormat="1" ht="29.25" customHeight="1">
      <c r="A58" s="48" t="s">
        <v>186</v>
      </c>
      <c r="B58" s="49" t="s">
        <v>187</v>
      </c>
      <c r="C58" s="50"/>
      <c r="D58" s="50"/>
      <c r="E58" s="50"/>
      <c r="F58" s="50">
        <v>150896</v>
      </c>
      <c r="G58" s="50"/>
      <c r="H58" s="50">
        <v>150896</v>
      </c>
      <c r="I58" s="50"/>
      <c r="J58" s="50"/>
      <c r="K58" s="50"/>
      <c r="L58" s="50"/>
      <c r="M58" s="50"/>
      <c r="N58" s="50"/>
      <c r="O58" s="73">
        <f t="shared" si="8"/>
        <v>150896</v>
      </c>
    </row>
    <row r="59" spans="1:15" s="36" customFormat="1" ht="31.5" customHeight="1">
      <c r="A59" s="48" t="s">
        <v>188</v>
      </c>
      <c r="B59" s="34" t="s">
        <v>189</v>
      </c>
      <c r="C59" s="50"/>
      <c r="D59" s="50"/>
      <c r="E59" s="50"/>
      <c r="F59" s="50">
        <v>262561</v>
      </c>
      <c r="G59" s="50"/>
      <c r="H59" s="50">
        <v>262561</v>
      </c>
      <c r="I59" s="50"/>
      <c r="J59" s="50"/>
      <c r="K59" s="50"/>
      <c r="L59" s="50"/>
      <c r="M59" s="50"/>
      <c r="N59" s="50"/>
      <c r="O59" s="73">
        <f>C59+F59+I59+L59</f>
        <v>262561</v>
      </c>
    </row>
    <row r="60" spans="1:15" s="36" customFormat="1" ht="43.5" customHeight="1">
      <c r="A60" s="48" t="s">
        <v>190</v>
      </c>
      <c r="B60" s="74" t="s">
        <v>191</v>
      </c>
      <c r="C60" s="50"/>
      <c r="D60" s="50"/>
      <c r="E60" s="50"/>
      <c r="F60" s="50">
        <v>20254</v>
      </c>
      <c r="G60" s="50"/>
      <c r="H60" s="50">
        <v>20254</v>
      </c>
      <c r="I60" s="50"/>
      <c r="J60" s="50"/>
      <c r="K60" s="50"/>
      <c r="L60" s="50"/>
      <c r="M60" s="50"/>
      <c r="N60" s="50"/>
      <c r="O60" s="73">
        <f>C60+F60+I60+L60</f>
        <v>20254</v>
      </c>
    </row>
    <row r="61" spans="1:15" s="36" customFormat="1" ht="17.25" customHeight="1">
      <c r="A61" s="75" t="s">
        <v>192</v>
      </c>
      <c r="B61" s="34" t="s">
        <v>193</v>
      </c>
      <c r="C61" s="76"/>
      <c r="D61" s="50"/>
      <c r="E61" s="50"/>
      <c r="F61" s="50">
        <v>57138</v>
      </c>
      <c r="G61" s="50"/>
      <c r="H61" s="50"/>
      <c r="I61" s="50"/>
      <c r="J61" s="50"/>
      <c r="K61" s="50"/>
      <c r="L61" s="50"/>
      <c r="M61" s="50"/>
      <c r="N61" s="50"/>
      <c r="O61" s="73">
        <f>C61+F61+I61+L61</f>
        <v>57138</v>
      </c>
    </row>
    <row r="62" spans="1:15" s="35" customFormat="1" ht="15.75" customHeight="1">
      <c r="A62" s="62"/>
      <c r="B62" s="158" t="s">
        <v>194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60"/>
    </row>
    <row r="63" spans="1:15" s="60" customFormat="1" ht="15.75" customHeight="1">
      <c r="A63" s="50"/>
      <c r="B63" s="45" t="s">
        <v>133</v>
      </c>
      <c r="C63" s="46">
        <f aca="true" t="shared" si="10" ref="C63:N63">C64+C96</f>
        <v>1539525</v>
      </c>
      <c r="D63" s="46">
        <f t="shared" si="10"/>
        <v>14200</v>
      </c>
      <c r="E63" s="46">
        <f t="shared" si="10"/>
        <v>87025</v>
      </c>
      <c r="F63" s="46">
        <f t="shared" si="10"/>
        <v>736228</v>
      </c>
      <c r="G63" s="46">
        <f t="shared" si="10"/>
        <v>417600</v>
      </c>
      <c r="H63" s="46">
        <f t="shared" si="10"/>
        <v>289628</v>
      </c>
      <c r="I63" s="46">
        <f t="shared" si="10"/>
        <v>0</v>
      </c>
      <c r="J63" s="46">
        <f t="shared" si="10"/>
        <v>0</v>
      </c>
      <c r="K63" s="46">
        <f t="shared" si="10"/>
        <v>0</v>
      </c>
      <c r="L63" s="46">
        <f t="shared" si="10"/>
        <v>0</v>
      </c>
      <c r="M63" s="46">
        <f t="shared" si="10"/>
        <v>0</v>
      </c>
      <c r="N63" s="46">
        <f t="shared" si="10"/>
        <v>0</v>
      </c>
      <c r="O63" s="43">
        <f aca="true" t="shared" si="11" ref="O63:O94">C63+F63+I63+L63</f>
        <v>2275753</v>
      </c>
    </row>
    <row r="64" spans="1:15" s="60" customFormat="1" ht="15.75" customHeight="1">
      <c r="A64" s="43" t="s">
        <v>111</v>
      </c>
      <c r="B64" s="45" t="s">
        <v>135</v>
      </c>
      <c r="C64" s="46">
        <f aca="true" t="shared" si="12" ref="C64:N64">SUM(C65:C83)</f>
        <v>1519925</v>
      </c>
      <c r="D64" s="46">
        <f t="shared" si="12"/>
        <v>0</v>
      </c>
      <c r="E64" s="46">
        <f t="shared" si="12"/>
        <v>87025</v>
      </c>
      <c r="F64" s="46">
        <f t="shared" si="12"/>
        <v>289628</v>
      </c>
      <c r="G64" s="46">
        <f t="shared" si="12"/>
        <v>0</v>
      </c>
      <c r="H64" s="46">
        <f t="shared" si="12"/>
        <v>289628</v>
      </c>
      <c r="I64" s="46">
        <f t="shared" si="12"/>
        <v>0</v>
      </c>
      <c r="J64" s="46">
        <f t="shared" si="12"/>
        <v>0</v>
      </c>
      <c r="K64" s="46">
        <f t="shared" si="12"/>
        <v>0</v>
      </c>
      <c r="L64" s="46">
        <f t="shared" si="12"/>
        <v>0</v>
      </c>
      <c r="M64" s="46">
        <f t="shared" si="12"/>
        <v>0</v>
      </c>
      <c r="N64" s="46">
        <f t="shared" si="12"/>
        <v>0</v>
      </c>
      <c r="O64" s="43">
        <f t="shared" si="11"/>
        <v>1809553</v>
      </c>
    </row>
    <row r="65" spans="1:15" s="36" customFormat="1" ht="45" customHeight="1">
      <c r="A65" s="57" t="s">
        <v>113</v>
      </c>
      <c r="B65" s="49" t="s">
        <v>195</v>
      </c>
      <c r="C65" s="50">
        <v>97000</v>
      </c>
      <c r="D65" s="50"/>
      <c r="E65" s="50">
        <v>35000</v>
      </c>
      <c r="F65" s="50"/>
      <c r="G65" s="50"/>
      <c r="H65" s="50"/>
      <c r="I65" s="50"/>
      <c r="J65" s="50"/>
      <c r="K65" s="50"/>
      <c r="L65" s="50"/>
      <c r="M65" s="50"/>
      <c r="N65" s="50"/>
      <c r="O65" s="43">
        <f t="shared" si="11"/>
        <v>97000</v>
      </c>
    </row>
    <row r="66" spans="1:15" s="77" customFormat="1" ht="29.25" customHeight="1">
      <c r="A66" s="57" t="s">
        <v>114</v>
      </c>
      <c r="B66" s="58" t="s">
        <v>196</v>
      </c>
      <c r="C66" s="65">
        <f>55000</f>
        <v>55000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43">
        <f t="shared" si="11"/>
        <v>55000</v>
      </c>
    </row>
    <row r="67" spans="1:15" s="36" customFormat="1" ht="43.5" customHeight="1">
      <c r="A67" s="57" t="s">
        <v>115</v>
      </c>
      <c r="B67" s="58" t="s">
        <v>197</v>
      </c>
      <c r="C67" s="50">
        <v>20000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43">
        <f t="shared" si="11"/>
        <v>20000</v>
      </c>
    </row>
    <row r="68" spans="1:15" s="36" customFormat="1" ht="29.25" customHeight="1">
      <c r="A68" s="57" t="s">
        <v>198</v>
      </c>
      <c r="B68" s="58" t="s">
        <v>199</v>
      </c>
      <c r="C68" s="50">
        <v>53900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43">
        <f t="shared" si="11"/>
        <v>53900</v>
      </c>
    </row>
    <row r="69" spans="1:15" s="60" customFormat="1" ht="30" customHeight="1">
      <c r="A69" s="57" t="s">
        <v>200</v>
      </c>
      <c r="B69" s="58" t="s">
        <v>201</v>
      </c>
      <c r="C69" s="78">
        <v>38000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43">
        <f t="shared" si="11"/>
        <v>38000</v>
      </c>
    </row>
    <row r="70" spans="1:15" s="60" customFormat="1" ht="43.5" customHeight="1">
      <c r="A70" s="57" t="s">
        <v>202</v>
      </c>
      <c r="B70" s="58" t="s">
        <v>203</v>
      </c>
      <c r="C70" s="50">
        <v>303000</v>
      </c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43">
        <f t="shared" si="11"/>
        <v>303000</v>
      </c>
    </row>
    <row r="71" spans="1:15" s="36" customFormat="1" ht="17.25" customHeight="1">
      <c r="A71" s="57" t="s">
        <v>204</v>
      </c>
      <c r="B71" s="49" t="s">
        <v>205</v>
      </c>
      <c r="C71" s="50">
        <v>6000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43">
        <f t="shared" si="11"/>
        <v>6000</v>
      </c>
    </row>
    <row r="72" spans="1:15" s="60" customFormat="1" ht="17.25" customHeight="1">
      <c r="A72" s="57" t="s">
        <v>206</v>
      </c>
      <c r="B72" s="58" t="s">
        <v>207</v>
      </c>
      <c r="C72" s="50">
        <v>15000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43">
        <f t="shared" si="11"/>
        <v>15000</v>
      </c>
    </row>
    <row r="73" spans="1:15" s="77" customFormat="1" ht="29.25" customHeight="1">
      <c r="A73" s="57" t="s">
        <v>208</v>
      </c>
      <c r="B73" s="58" t="s">
        <v>209</v>
      </c>
      <c r="C73" s="65">
        <v>185000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43">
        <f t="shared" si="11"/>
        <v>185000</v>
      </c>
    </row>
    <row r="74" spans="1:15" s="77" customFormat="1" ht="43.5" customHeight="1">
      <c r="A74" s="57" t="s">
        <v>210</v>
      </c>
      <c r="B74" s="58" t="s">
        <v>211</v>
      </c>
      <c r="C74" s="65">
        <v>40000</v>
      </c>
      <c r="D74" s="65"/>
      <c r="E74" s="65">
        <v>40000</v>
      </c>
      <c r="F74" s="65"/>
      <c r="G74" s="65"/>
      <c r="H74" s="65"/>
      <c r="I74" s="65"/>
      <c r="J74" s="65"/>
      <c r="K74" s="65"/>
      <c r="L74" s="65"/>
      <c r="M74" s="65"/>
      <c r="N74" s="65"/>
      <c r="O74" s="43">
        <f t="shared" si="11"/>
        <v>40000</v>
      </c>
    </row>
    <row r="75" spans="1:15" s="36" customFormat="1" ht="16.5" customHeight="1">
      <c r="A75" s="57" t="s">
        <v>212</v>
      </c>
      <c r="B75" s="49" t="s">
        <v>213</v>
      </c>
      <c r="C75" s="50">
        <v>10000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43">
        <f t="shared" si="11"/>
        <v>10000</v>
      </c>
    </row>
    <row r="76" spans="1:15" s="36" customFormat="1" ht="44.25" customHeight="1">
      <c r="A76" s="57" t="s">
        <v>214</v>
      </c>
      <c r="B76" s="49" t="s">
        <v>215</v>
      </c>
      <c r="C76" s="50">
        <f>24800-12775</f>
        <v>12025</v>
      </c>
      <c r="D76" s="50"/>
      <c r="E76" s="50">
        <v>12025</v>
      </c>
      <c r="F76" s="50">
        <v>12775</v>
      </c>
      <c r="G76" s="50"/>
      <c r="H76" s="50">
        <v>12775</v>
      </c>
      <c r="I76" s="50"/>
      <c r="J76" s="50"/>
      <c r="K76" s="50"/>
      <c r="L76" s="50"/>
      <c r="M76" s="50"/>
      <c r="N76" s="50"/>
      <c r="O76" s="43">
        <f t="shared" si="11"/>
        <v>24800</v>
      </c>
    </row>
    <row r="77" spans="1:15" s="77" customFormat="1" ht="30" customHeight="1">
      <c r="A77" s="57" t="s">
        <v>216</v>
      </c>
      <c r="B77" s="49" t="s">
        <v>217</v>
      </c>
      <c r="C77" s="65"/>
      <c r="D77" s="65"/>
      <c r="E77" s="65"/>
      <c r="F77" s="65">
        <v>2223</v>
      </c>
      <c r="G77" s="65"/>
      <c r="H77" s="65">
        <v>2223</v>
      </c>
      <c r="I77" s="65"/>
      <c r="J77" s="65"/>
      <c r="K77" s="65"/>
      <c r="L77" s="65"/>
      <c r="M77" s="65"/>
      <c r="N77" s="65"/>
      <c r="O77" s="43">
        <f t="shared" si="11"/>
        <v>2223</v>
      </c>
    </row>
    <row r="78" spans="1:15" s="36" customFormat="1" ht="30.75" customHeight="1">
      <c r="A78" s="57" t="s">
        <v>218</v>
      </c>
      <c r="B78" s="49" t="s">
        <v>219</v>
      </c>
      <c r="C78" s="50"/>
      <c r="D78" s="50"/>
      <c r="E78" s="50"/>
      <c r="F78" s="50">
        <v>215075</v>
      </c>
      <c r="G78" s="50"/>
      <c r="H78" s="50">
        <v>215075</v>
      </c>
      <c r="I78" s="50"/>
      <c r="J78" s="50"/>
      <c r="K78" s="50"/>
      <c r="L78" s="50"/>
      <c r="M78" s="50"/>
      <c r="N78" s="50"/>
      <c r="O78" s="43">
        <f t="shared" si="11"/>
        <v>215075</v>
      </c>
    </row>
    <row r="79" spans="1:15" s="36" customFormat="1" ht="44.25" customHeight="1">
      <c r="A79" s="57" t="s">
        <v>220</v>
      </c>
      <c r="B79" s="49" t="s">
        <v>221</v>
      </c>
      <c r="C79" s="50"/>
      <c r="D79" s="50"/>
      <c r="E79" s="50"/>
      <c r="F79" s="50">
        <v>39199</v>
      </c>
      <c r="G79" s="50"/>
      <c r="H79" s="50">
        <v>39199</v>
      </c>
      <c r="I79" s="50"/>
      <c r="J79" s="50"/>
      <c r="K79" s="50"/>
      <c r="L79" s="50"/>
      <c r="M79" s="50"/>
      <c r="N79" s="50"/>
      <c r="O79" s="43">
        <f t="shared" si="11"/>
        <v>39199</v>
      </c>
    </row>
    <row r="80" spans="1:15" s="36" customFormat="1" ht="44.25" customHeight="1">
      <c r="A80" s="57" t="s">
        <v>222</v>
      </c>
      <c r="B80" s="49" t="s">
        <v>223</v>
      </c>
      <c r="C80" s="50"/>
      <c r="D80" s="50"/>
      <c r="E80" s="50"/>
      <c r="F80" s="50">
        <v>20356</v>
      </c>
      <c r="G80" s="50"/>
      <c r="H80" s="50">
        <v>20356</v>
      </c>
      <c r="I80" s="50"/>
      <c r="J80" s="50"/>
      <c r="K80" s="50"/>
      <c r="L80" s="50"/>
      <c r="M80" s="50"/>
      <c r="N80" s="50"/>
      <c r="O80" s="43">
        <f t="shared" si="11"/>
        <v>20356</v>
      </c>
    </row>
    <row r="81" spans="1:15" s="36" customFormat="1" ht="16.5" customHeight="1">
      <c r="A81" s="57" t="s">
        <v>224</v>
      </c>
      <c r="B81" s="49" t="s">
        <v>225</v>
      </c>
      <c r="C81" s="50">
        <v>12000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43">
        <f>C81+F81+I81+L81</f>
        <v>12000</v>
      </c>
    </row>
    <row r="82" spans="1:15" s="60" customFormat="1" ht="15.75" customHeight="1">
      <c r="A82" s="57" t="s">
        <v>226</v>
      </c>
      <c r="B82" s="58" t="s">
        <v>227</v>
      </c>
      <c r="C82" s="50">
        <v>23000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43">
        <f>C82+F82+I82+L82</f>
        <v>23000</v>
      </c>
    </row>
    <row r="83" spans="1:15" s="35" customFormat="1" ht="29.25" customHeight="1">
      <c r="A83" s="50" t="s">
        <v>228</v>
      </c>
      <c r="B83" s="49" t="s">
        <v>229</v>
      </c>
      <c r="C83" s="50">
        <f aca="true" t="shared" si="13" ref="C83:O83">SUM(C84:C95)</f>
        <v>650000</v>
      </c>
      <c r="D83" s="43">
        <f t="shared" si="13"/>
        <v>0</v>
      </c>
      <c r="E83" s="50">
        <f t="shared" si="13"/>
        <v>0</v>
      </c>
      <c r="F83" s="43">
        <f t="shared" si="13"/>
        <v>0</v>
      </c>
      <c r="G83" s="43">
        <f t="shared" si="13"/>
        <v>0</v>
      </c>
      <c r="H83" s="43">
        <f t="shared" si="13"/>
        <v>0</v>
      </c>
      <c r="I83" s="43">
        <f t="shared" si="13"/>
        <v>0</v>
      </c>
      <c r="J83" s="43">
        <f t="shared" si="13"/>
        <v>0</v>
      </c>
      <c r="K83" s="43">
        <f t="shared" si="13"/>
        <v>0</v>
      </c>
      <c r="L83" s="43">
        <f t="shared" si="13"/>
        <v>0</v>
      </c>
      <c r="M83" s="43">
        <f t="shared" si="13"/>
        <v>0</v>
      </c>
      <c r="N83" s="43">
        <f t="shared" si="13"/>
        <v>0</v>
      </c>
      <c r="O83" s="43">
        <f t="shared" si="13"/>
        <v>650000</v>
      </c>
    </row>
    <row r="84" spans="1:15" s="36" customFormat="1" ht="15" customHeight="1">
      <c r="A84" s="48" t="s">
        <v>230</v>
      </c>
      <c r="B84" s="49" t="s">
        <v>231</v>
      </c>
      <c r="C84" s="50">
        <f>14700+1900</f>
        <v>16600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43">
        <f t="shared" si="11"/>
        <v>16600</v>
      </c>
    </row>
    <row r="85" spans="1:15" s="36" customFormat="1" ht="15" customHeight="1">
      <c r="A85" s="57" t="s">
        <v>232</v>
      </c>
      <c r="B85" s="49" t="s">
        <v>233</v>
      </c>
      <c r="C85" s="50">
        <f>7600+1600</f>
        <v>9200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43">
        <f t="shared" si="11"/>
        <v>9200</v>
      </c>
    </row>
    <row r="86" spans="1:15" s="35" customFormat="1" ht="15" customHeight="1">
      <c r="A86" s="57" t="s">
        <v>234</v>
      </c>
      <c r="B86" s="49" t="s">
        <v>235</v>
      </c>
      <c r="C86" s="50">
        <f>5200+500</f>
        <v>5700</v>
      </c>
      <c r="D86" s="43">
        <f aca="true" t="shared" si="14" ref="D86:N86">SUM(D87)</f>
        <v>0</v>
      </c>
      <c r="E86" s="43">
        <f t="shared" si="14"/>
        <v>0</v>
      </c>
      <c r="F86" s="43">
        <f t="shared" si="14"/>
        <v>0</v>
      </c>
      <c r="G86" s="43">
        <f t="shared" si="14"/>
        <v>0</v>
      </c>
      <c r="H86" s="43">
        <f t="shared" si="14"/>
        <v>0</v>
      </c>
      <c r="I86" s="43">
        <f t="shared" si="14"/>
        <v>0</v>
      </c>
      <c r="J86" s="43"/>
      <c r="K86" s="43">
        <f t="shared" si="14"/>
        <v>0</v>
      </c>
      <c r="L86" s="43">
        <f t="shared" si="14"/>
        <v>0</v>
      </c>
      <c r="M86" s="43">
        <f t="shared" si="14"/>
        <v>0</v>
      </c>
      <c r="N86" s="43">
        <f t="shared" si="14"/>
        <v>0</v>
      </c>
      <c r="O86" s="43">
        <f t="shared" si="11"/>
        <v>5700</v>
      </c>
    </row>
    <row r="87" spans="1:15" s="36" customFormat="1" ht="15" customHeight="1">
      <c r="A87" s="57" t="s">
        <v>236</v>
      </c>
      <c r="B87" s="49" t="s">
        <v>237</v>
      </c>
      <c r="C87" s="50">
        <f>14700+4000</f>
        <v>18700</v>
      </c>
      <c r="D87" s="50"/>
      <c r="E87" s="50"/>
      <c r="F87" s="43"/>
      <c r="G87" s="50"/>
      <c r="H87" s="50"/>
      <c r="I87" s="43"/>
      <c r="J87" s="43"/>
      <c r="K87" s="50"/>
      <c r="L87" s="43"/>
      <c r="M87" s="50"/>
      <c r="N87" s="50"/>
      <c r="O87" s="43">
        <f t="shared" si="11"/>
        <v>18700</v>
      </c>
    </row>
    <row r="88" spans="1:15" s="36" customFormat="1" ht="15" customHeight="1">
      <c r="A88" s="57" t="s">
        <v>238</v>
      </c>
      <c r="B88" s="49" t="s">
        <v>239</v>
      </c>
      <c r="C88" s="50">
        <f>11900+1500</f>
        <v>13400</v>
      </c>
      <c r="D88" s="50"/>
      <c r="E88" s="50"/>
      <c r="F88" s="43"/>
      <c r="G88" s="50"/>
      <c r="H88" s="50"/>
      <c r="I88" s="43"/>
      <c r="J88" s="43"/>
      <c r="K88" s="50"/>
      <c r="L88" s="43"/>
      <c r="M88" s="50"/>
      <c r="N88" s="50"/>
      <c r="O88" s="43">
        <f t="shared" si="11"/>
        <v>13400</v>
      </c>
    </row>
    <row r="89" spans="1:15" s="36" customFormat="1" ht="15" customHeight="1">
      <c r="A89" s="57" t="s">
        <v>240</v>
      </c>
      <c r="B89" s="49" t="s">
        <v>241</v>
      </c>
      <c r="C89" s="50">
        <f>11500+1000</f>
        <v>12500</v>
      </c>
      <c r="D89" s="50"/>
      <c r="E89" s="50"/>
      <c r="F89" s="43"/>
      <c r="G89" s="50"/>
      <c r="H89" s="50"/>
      <c r="I89" s="43"/>
      <c r="J89" s="43"/>
      <c r="K89" s="50"/>
      <c r="L89" s="43"/>
      <c r="M89" s="50"/>
      <c r="N89" s="50"/>
      <c r="O89" s="43">
        <f t="shared" si="11"/>
        <v>12500</v>
      </c>
    </row>
    <row r="90" spans="1:15" s="36" customFormat="1" ht="15" customHeight="1">
      <c r="A90" s="57" t="s">
        <v>242</v>
      </c>
      <c r="B90" s="49" t="s">
        <v>243</v>
      </c>
      <c r="C90" s="50">
        <f>10500+1500</f>
        <v>12000</v>
      </c>
      <c r="D90" s="50"/>
      <c r="E90" s="50"/>
      <c r="F90" s="43"/>
      <c r="G90" s="50"/>
      <c r="H90" s="50"/>
      <c r="I90" s="43"/>
      <c r="J90" s="43"/>
      <c r="K90" s="50"/>
      <c r="L90" s="43"/>
      <c r="M90" s="50"/>
      <c r="N90" s="50"/>
      <c r="O90" s="43">
        <f t="shared" si="11"/>
        <v>12000</v>
      </c>
    </row>
    <row r="91" spans="1:15" s="36" customFormat="1" ht="15" customHeight="1">
      <c r="A91" s="57" t="s">
        <v>244</v>
      </c>
      <c r="B91" s="49" t="s">
        <v>245</v>
      </c>
      <c r="C91" s="50">
        <f>7600+1300</f>
        <v>8900</v>
      </c>
      <c r="D91" s="50"/>
      <c r="E91" s="50"/>
      <c r="F91" s="43"/>
      <c r="G91" s="50"/>
      <c r="H91" s="50"/>
      <c r="I91" s="43"/>
      <c r="J91" s="43"/>
      <c r="K91" s="50"/>
      <c r="L91" s="43"/>
      <c r="M91" s="50"/>
      <c r="N91" s="50"/>
      <c r="O91" s="43">
        <f t="shared" si="11"/>
        <v>8900</v>
      </c>
    </row>
    <row r="92" spans="1:15" s="36" customFormat="1" ht="15" customHeight="1">
      <c r="A92" s="57" t="s">
        <v>246</v>
      </c>
      <c r="B92" s="49" t="s">
        <v>247</v>
      </c>
      <c r="C92" s="50">
        <f>11500+3900</f>
        <v>15400</v>
      </c>
      <c r="D92" s="50"/>
      <c r="E92" s="50"/>
      <c r="F92" s="43"/>
      <c r="G92" s="50"/>
      <c r="H92" s="50"/>
      <c r="I92" s="43"/>
      <c r="J92" s="43"/>
      <c r="K92" s="50"/>
      <c r="L92" s="43"/>
      <c r="M92" s="50"/>
      <c r="N92" s="50"/>
      <c r="O92" s="43">
        <f t="shared" si="11"/>
        <v>15400</v>
      </c>
    </row>
    <row r="93" spans="1:15" s="36" customFormat="1" ht="15" customHeight="1">
      <c r="A93" s="79" t="s">
        <v>248</v>
      </c>
      <c r="B93" s="49" t="s">
        <v>249</v>
      </c>
      <c r="C93" s="50">
        <f>10600+1100</f>
        <v>11700</v>
      </c>
      <c r="D93" s="50"/>
      <c r="E93" s="50"/>
      <c r="F93" s="43"/>
      <c r="G93" s="50"/>
      <c r="H93" s="50"/>
      <c r="I93" s="43"/>
      <c r="J93" s="43"/>
      <c r="K93" s="50"/>
      <c r="L93" s="43"/>
      <c r="M93" s="50"/>
      <c r="N93" s="50"/>
      <c r="O93" s="43">
        <f t="shared" si="11"/>
        <v>11700</v>
      </c>
    </row>
    <row r="94" spans="1:15" s="36" customFormat="1" ht="15" customHeight="1">
      <c r="A94" s="79" t="s">
        <v>250</v>
      </c>
      <c r="B94" s="49" t="s">
        <v>251</v>
      </c>
      <c r="C94" s="50">
        <f>7600+3300</f>
        <v>10900</v>
      </c>
      <c r="D94" s="50"/>
      <c r="E94" s="50"/>
      <c r="F94" s="43"/>
      <c r="G94" s="50"/>
      <c r="H94" s="50"/>
      <c r="I94" s="43"/>
      <c r="J94" s="43"/>
      <c r="K94" s="50"/>
      <c r="L94" s="43"/>
      <c r="M94" s="50"/>
      <c r="N94" s="50"/>
      <c r="O94" s="43">
        <f t="shared" si="11"/>
        <v>10900</v>
      </c>
    </row>
    <row r="95" spans="1:15" s="60" customFormat="1" ht="30" customHeight="1">
      <c r="A95" s="57" t="s">
        <v>252</v>
      </c>
      <c r="B95" s="58" t="s">
        <v>253</v>
      </c>
      <c r="C95" s="50">
        <f>500000+15000</f>
        <v>515000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43">
        <f>C95+F95+I95+L95</f>
        <v>515000</v>
      </c>
    </row>
    <row r="96" spans="1:15" s="36" customFormat="1" ht="18" customHeight="1">
      <c r="A96" s="43" t="s">
        <v>254</v>
      </c>
      <c r="B96" s="80" t="s">
        <v>255</v>
      </c>
      <c r="C96" s="43">
        <f>17400+2200</f>
        <v>19600</v>
      </c>
      <c r="D96" s="43">
        <v>14200</v>
      </c>
      <c r="E96" s="43"/>
      <c r="F96" s="43">
        <v>446600</v>
      </c>
      <c r="G96" s="43">
        <v>417600</v>
      </c>
      <c r="H96" s="43"/>
      <c r="I96" s="43"/>
      <c r="J96" s="43"/>
      <c r="K96" s="43"/>
      <c r="L96" s="43"/>
      <c r="M96" s="43"/>
      <c r="N96" s="43"/>
      <c r="O96" s="43">
        <f>C96+F96+I96+L96</f>
        <v>466200</v>
      </c>
    </row>
    <row r="97" spans="1:15" s="35" customFormat="1" ht="18.75" customHeight="1">
      <c r="A97" s="62"/>
      <c r="B97" s="161" t="s">
        <v>256</v>
      </c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</row>
    <row r="98" spans="1:15" s="60" customFormat="1" ht="16.5" customHeight="1">
      <c r="A98" s="50"/>
      <c r="B98" s="45" t="s">
        <v>133</v>
      </c>
      <c r="C98" s="46">
        <f aca="true" t="shared" si="15" ref="C98:O98">C99+C105+C112+C116</f>
        <v>150000</v>
      </c>
      <c r="D98" s="46">
        <f t="shared" si="15"/>
        <v>0</v>
      </c>
      <c r="E98" s="46">
        <f t="shared" si="15"/>
        <v>80000</v>
      </c>
      <c r="F98" s="46">
        <f t="shared" si="15"/>
        <v>463193</v>
      </c>
      <c r="G98" s="46">
        <f t="shared" si="15"/>
        <v>183618</v>
      </c>
      <c r="H98" s="46">
        <f t="shared" si="15"/>
        <v>200000</v>
      </c>
      <c r="I98" s="46">
        <f t="shared" si="15"/>
        <v>0</v>
      </c>
      <c r="J98" s="46">
        <f t="shared" si="15"/>
        <v>0</v>
      </c>
      <c r="K98" s="46">
        <f t="shared" si="15"/>
        <v>0</v>
      </c>
      <c r="L98" s="46">
        <f t="shared" si="15"/>
        <v>833697</v>
      </c>
      <c r="M98" s="46">
        <f t="shared" si="15"/>
        <v>0</v>
      </c>
      <c r="N98" s="46">
        <f t="shared" si="15"/>
        <v>0</v>
      </c>
      <c r="O98" s="46">
        <f t="shared" si="15"/>
        <v>1446890</v>
      </c>
    </row>
    <row r="99" spans="1:15" s="60" customFormat="1" ht="30" customHeight="1">
      <c r="A99" s="43" t="s">
        <v>257</v>
      </c>
      <c r="B99" s="45" t="s">
        <v>258</v>
      </c>
      <c r="C99" s="46">
        <f>SUM(C100,C103,C102,C104)</f>
        <v>0</v>
      </c>
      <c r="D99" s="46">
        <f aca="true" t="shared" si="16" ref="D99:K99">SUM(D100,D103,D102,D104)</f>
        <v>0</v>
      </c>
      <c r="E99" s="46">
        <f t="shared" si="16"/>
        <v>0</v>
      </c>
      <c r="F99" s="46">
        <f t="shared" si="16"/>
        <v>0</v>
      </c>
      <c r="G99" s="46">
        <f t="shared" si="16"/>
        <v>0</v>
      </c>
      <c r="H99" s="46">
        <f t="shared" si="16"/>
        <v>0</v>
      </c>
      <c r="I99" s="46">
        <f t="shared" si="16"/>
        <v>0</v>
      </c>
      <c r="J99" s="46"/>
      <c r="K99" s="46">
        <f t="shared" si="16"/>
        <v>0</v>
      </c>
      <c r="L99" s="46">
        <f>SUM(L100:L104)</f>
        <v>101896</v>
      </c>
      <c r="M99" s="46">
        <f>SUM(M100:M104)</f>
        <v>0</v>
      </c>
      <c r="N99" s="46">
        <f>SUM(N100:N104)</f>
        <v>0</v>
      </c>
      <c r="O99" s="43">
        <f aca="true" t="shared" si="17" ref="O99:O119">C99+F99+I99+L99</f>
        <v>101896</v>
      </c>
    </row>
    <row r="100" spans="1:15" s="77" customFormat="1" ht="29.25" customHeight="1">
      <c r="A100" s="57" t="s">
        <v>259</v>
      </c>
      <c r="B100" s="58" t="s">
        <v>260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>
        <v>15000</v>
      </c>
      <c r="M100" s="65"/>
      <c r="N100" s="65"/>
      <c r="O100" s="43">
        <f t="shared" si="17"/>
        <v>15000</v>
      </c>
    </row>
    <row r="101" spans="1:15" s="77" customFormat="1" ht="29.25" customHeight="1">
      <c r="A101" s="81" t="s">
        <v>261</v>
      </c>
      <c r="B101" s="58" t="s">
        <v>262</v>
      </c>
      <c r="C101" s="82"/>
      <c r="D101" s="82"/>
      <c r="E101" s="82"/>
      <c r="F101" s="82"/>
      <c r="G101" s="82"/>
      <c r="H101" s="82"/>
      <c r="I101" s="82"/>
      <c r="J101" s="82"/>
      <c r="K101" s="82"/>
      <c r="L101" s="82">
        <f>19000+15132+5783+1</f>
        <v>39916</v>
      </c>
      <c r="M101" s="82"/>
      <c r="N101" s="82"/>
      <c r="O101" s="43">
        <f t="shared" si="17"/>
        <v>39916</v>
      </c>
    </row>
    <row r="102" spans="1:15" s="84" customFormat="1" ht="16.5" customHeight="1">
      <c r="A102" s="81" t="s">
        <v>263</v>
      </c>
      <c r="B102" s="83" t="s">
        <v>264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>
        <f>1000</f>
        <v>1000</v>
      </c>
      <c r="M102" s="72"/>
      <c r="N102" s="72"/>
      <c r="O102" s="43">
        <f t="shared" si="17"/>
        <v>1000</v>
      </c>
    </row>
    <row r="103" spans="1:15" s="77" customFormat="1" ht="30" customHeight="1">
      <c r="A103" s="57" t="s">
        <v>265</v>
      </c>
      <c r="B103" s="58" t="s">
        <v>266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>
        <f>25000+5980</f>
        <v>30980</v>
      </c>
      <c r="M103" s="65"/>
      <c r="N103" s="65"/>
      <c r="O103" s="43">
        <f t="shared" si="17"/>
        <v>30980</v>
      </c>
    </row>
    <row r="104" spans="1:15" s="84" customFormat="1" ht="18" customHeight="1">
      <c r="A104" s="57" t="s">
        <v>267</v>
      </c>
      <c r="B104" s="58" t="s">
        <v>268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>
        <f>9217+5783</f>
        <v>15000</v>
      </c>
      <c r="M104" s="50"/>
      <c r="N104" s="50"/>
      <c r="O104" s="43">
        <f t="shared" si="17"/>
        <v>15000</v>
      </c>
    </row>
    <row r="105" spans="1:15" s="56" customFormat="1" ht="18.75" customHeight="1">
      <c r="A105" s="43" t="s">
        <v>269</v>
      </c>
      <c r="B105" s="45" t="s">
        <v>135</v>
      </c>
      <c r="C105" s="43">
        <f aca="true" t="shared" si="18" ref="C105:N105">SUM(C106:C111)</f>
        <v>150000</v>
      </c>
      <c r="D105" s="43">
        <f t="shared" si="18"/>
        <v>0</v>
      </c>
      <c r="E105" s="43">
        <f t="shared" si="18"/>
        <v>80000</v>
      </c>
      <c r="F105" s="43">
        <f t="shared" si="18"/>
        <v>200993</v>
      </c>
      <c r="G105" s="43">
        <f t="shared" si="18"/>
        <v>818</v>
      </c>
      <c r="H105" s="43">
        <f t="shared" si="18"/>
        <v>200000</v>
      </c>
      <c r="I105" s="43">
        <f t="shared" si="18"/>
        <v>0</v>
      </c>
      <c r="J105" s="43">
        <f t="shared" si="18"/>
        <v>0</v>
      </c>
      <c r="K105" s="43">
        <f t="shared" si="18"/>
        <v>0</v>
      </c>
      <c r="L105" s="43">
        <f t="shared" si="18"/>
        <v>700000</v>
      </c>
      <c r="M105" s="43">
        <f t="shared" si="18"/>
        <v>0</v>
      </c>
      <c r="N105" s="43">
        <f t="shared" si="18"/>
        <v>0</v>
      </c>
      <c r="O105" s="43">
        <f t="shared" si="17"/>
        <v>1050993</v>
      </c>
    </row>
    <row r="106" spans="1:15" s="60" customFormat="1" ht="30" customHeight="1">
      <c r="A106" s="57" t="s">
        <v>270</v>
      </c>
      <c r="B106" s="58" t="s">
        <v>271</v>
      </c>
      <c r="C106" s="65">
        <v>20000</v>
      </c>
      <c r="D106" s="65"/>
      <c r="E106" s="65"/>
      <c r="F106" s="65"/>
      <c r="G106" s="65"/>
      <c r="H106" s="65"/>
      <c r="I106" s="65">
        <f>K106</f>
        <v>0</v>
      </c>
      <c r="J106" s="65"/>
      <c r="K106" s="65"/>
      <c r="L106" s="65"/>
      <c r="M106" s="65"/>
      <c r="N106" s="65"/>
      <c r="O106" s="43">
        <f t="shared" si="17"/>
        <v>20000</v>
      </c>
    </row>
    <row r="107" spans="1:15" s="77" customFormat="1" ht="58.5" customHeight="1">
      <c r="A107" s="48" t="s">
        <v>272</v>
      </c>
      <c r="B107" s="58" t="s">
        <v>273</v>
      </c>
      <c r="C107" s="65">
        <f>15000+30000+15000</f>
        <v>60000</v>
      </c>
      <c r="D107" s="65"/>
      <c r="E107" s="65">
        <v>15000</v>
      </c>
      <c r="F107" s="65">
        <v>200000</v>
      </c>
      <c r="G107" s="65"/>
      <c r="H107" s="65">
        <v>200000</v>
      </c>
      <c r="I107" s="65"/>
      <c r="J107" s="65"/>
      <c r="K107" s="65"/>
      <c r="L107" s="65"/>
      <c r="M107" s="65"/>
      <c r="N107" s="65"/>
      <c r="O107" s="43">
        <f t="shared" si="17"/>
        <v>260000</v>
      </c>
    </row>
    <row r="108" spans="1:15" s="60" customFormat="1" ht="30" customHeight="1">
      <c r="A108" s="57" t="s">
        <v>274</v>
      </c>
      <c r="B108" s="58" t="s">
        <v>275</v>
      </c>
      <c r="C108" s="65">
        <v>5000</v>
      </c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43">
        <f t="shared" si="17"/>
        <v>5000</v>
      </c>
    </row>
    <row r="109" spans="1:15" s="60" customFormat="1" ht="15.75" customHeight="1">
      <c r="A109" s="48" t="s">
        <v>276</v>
      </c>
      <c r="B109" s="58" t="s">
        <v>277</v>
      </c>
      <c r="C109" s="65"/>
      <c r="D109" s="46"/>
      <c r="E109" s="46"/>
      <c r="F109" s="65">
        <v>993</v>
      </c>
      <c r="G109" s="65">
        <v>818</v>
      </c>
      <c r="H109" s="65"/>
      <c r="I109" s="65"/>
      <c r="J109" s="46"/>
      <c r="K109" s="65"/>
      <c r="L109" s="46"/>
      <c r="M109" s="46"/>
      <c r="N109" s="46"/>
      <c r="O109" s="43">
        <f t="shared" si="17"/>
        <v>993</v>
      </c>
    </row>
    <row r="110" spans="1:15" s="60" customFormat="1" ht="30" customHeight="1">
      <c r="A110" s="48" t="s">
        <v>278</v>
      </c>
      <c r="B110" s="58" t="s">
        <v>279</v>
      </c>
      <c r="C110" s="65">
        <v>65000</v>
      </c>
      <c r="D110" s="46"/>
      <c r="E110" s="65">
        <v>65000</v>
      </c>
      <c r="F110" s="46"/>
      <c r="G110" s="46"/>
      <c r="H110" s="46"/>
      <c r="I110" s="65"/>
      <c r="J110" s="46"/>
      <c r="K110" s="65"/>
      <c r="L110" s="46"/>
      <c r="M110" s="46"/>
      <c r="N110" s="46"/>
      <c r="O110" s="43">
        <f t="shared" si="17"/>
        <v>65000</v>
      </c>
    </row>
    <row r="111" spans="1:15" s="77" customFormat="1" ht="16.5" customHeight="1">
      <c r="A111" s="48" t="s">
        <v>280</v>
      </c>
      <c r="B111" s="58" t="s">
        <v>281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>
        <v>700000</v>
      </c>
      <c r="M111" s="65"/>
      <c r="N111" s="65"/>
      <c r="O111" s="43">
        <f t="shared" si="17"/>
        <v>700000</v>
      </c>
    </row>
    <row r="112" spans="1:15" s="42" customFormat="1" ht="28.5" customHeight="1">
      <c r="A112" s="43" t="s">
        <v>282</v>
      </c>
      <c r="B112" s="45" t="s">
        <v>283</v>
      </c>
      <c r="C112" s="50">
        <f aca="true" t="shared" si="19" ref="C112:N112">SUM(C113:C115)</f>
        <v>0</v>
      </c>
      <c r="D112" s="50">
        <f t="shared" si="19"/>
        <v>0</v>
      </c>
      <c r="E112" s="50">
        <f t="shared" si="19"/>
        <v>0</v>
      </c>
      <c r="F112" s="50">
        <f t="shared" si="19"/>
        <v>0</v>
      </c>
      <c r="G112" s="50">
        <f t="shared" si="19"/>
        <v>0</v>
      </c>
      <c r="H112" s="50">
        <f t="shared" si="19"/>
        <v>0</v>
      </c>
      <c r="I112" s="50">
        <f t="shared" si="19"/>
        <v>0</v>
      </c>
      <c r="J112" s="50">
        <f t="shared" si="19"/>
        <v>0</v>
      </c>
      <c r="K112" s="50">
        <f t="shared" si="19"/>
        <v>0</v>
      </c>
      <c r="L112" s="43">
        <f t="shared" si="19"/>
        <v>23801</v>
      </c>
      <c r="M112" s="50">
        <f t="shared" si="19"/>
        <v>0</v>
      </c>
      <c r="N112" s="50">
        <f t="shared" si="19"/>
        <v>0</v>
      </c>
      <c r="O112" s="43">
        <f t="shared" si="17"/>
        <v>23801</v>
      </c>
    </row>
    <row r="113" spans="1:15" s="85" customFormat="1" ht="15.75" customHeight="1">
      <c r="A113" s="79" t="s">
        <v>284</v>
      </c>
      <c r="B113" s="49" t="s">
        <v>285</v>
      </c>
      <c r="C113" s="65"/>
      <c r="D113" s="65"/>
      <c r="E113" s="65"/>
      <c r="F113" s="65"/>
      <c r="G113" s="65"/>
      <c r="H113" s="65"/>
      <c r="I113" s="65"/>
      <c r="J113" s="65"/>
      <c r="K113" s="65"/>
      <c r="L113" s="65">
        <v>916</v>
      </c>
      <c r="M113" s="65"/>
      <c r="N113" s="65"/>
      <c r="O113" s="43">
        <f t="shared" si="17"/>
        <v>916</v>
      </c>
    </row>
    <row r="114" spans="1:15" s="85" customFormat="1" ht="15.75" customHeight="1">
      <c r="A114" s="79" t="s">
        <v>286</v>
      </c>
      <c r="B114" s="49" t="s">
        <v>287</v>
      </c>
      <c r="C114" s="65"/>
      <c r="D114" s="65"/>
      <c r="E114" s="65"/>
      <c r="F114" s="65"/>
      <c r="G114" s="65"/>
      <c r="H114" s="65"/>
      <c r="I114" s="65"/>
      <c r="J114" s="65"/>
      <c r="K114" s="65"/>
      <c r="L114" s="65">
        <v>22800</v>
      </c>
      <c r="M114" s="65"/>
      <c r="N114" s="65"/>
      <c r="O114" s="43">
        <f t="shared" si="17"/>
        <v>22800</v>
      </c>
    </row>
    <row r="115" spans="1:15" s="85" customFormat="1" ht="15.75" customHeight="1">
      <c r="A115" s="79" t="s">
        <v>288</v>
      </c>
      <c r="B115" s="49" t="s">
        <v>289</v>
      </c>
      <c r="C115" s="65"/>
      <c r="D115" s="65"/>
      <c r="E115" s="65"/>
      <c r="F115" s="65"/>
      <c r="G115" s="65"/>
      <c r="H115" s="65"/>
      <c r="I115" s="65"/>
      <c r="J115" s="65"/>
      <c r="K115" s="65"/>
      <c r="L115" s="65">
        <v>85</v>
      </c>
      <c r="M115" s="65"/>
      <c r="N115" s="65"/>
      <c r="O115" s="43">
        <f t="shared" si="17"/>
        <v>85</v>
      </c>
    </row>
    <row r="116" spans="1:15" s="42" customFormat="1" ht="28.5" customHeight="1">
      <c r="A116" s="86" t="s">
        <v>290</v>
      </c>
      <c r="B116" s="80" t="s">
        <v>291</v>
      </c>
      <c r="C116" s="46">
        <f>SUM(C117,C119)</f>
        <v>0</v>
      </c>
      <c r="D116" s="46">
        <f>SUM(D117,D119)</f>
        <v>0</v>
      </c>
      <c r="E116" s="46">
        <f>SUM(E117,E119)</f>
        <v>0</v>
      </c>
      <c r="F116" s="46">
        <f>SUM(F117,F118,F119)</f>
        <v>262200</v>
      </c>
      <c r="G116" s="46">
        <f aca="true" t="shared" si="20" ref="G116:O116">SUM(G117,G118,G119)</f>
        <v>182800</v>
      </c>
      <c r="H116" s="46">
        <f t="shared" si="20"/>
        <v>0</v>
      </c>
      <c r="I116" s="46">
        <f t="shared" si="20"/>
        <v>0</v>
      </c>
      <c r="J116" s="46">
        <f t="shared" si="20"/>
        <v>0</v>
      </c>
      <c r="K116" s="46">
        <f t="shared" si="20"/>
        <v>0</v>
      </c>
      <c r="L116" s="46">
        <f t="shared" si="20"/>
        <v>8000</v>
      </c>
      <c r="M116" s="46">
        <f t="shared" si="20"/>
        <v>0</v>
      </c>
      <c r="N116" s="46">
        <f t="shared" si="20"/>
        <v>0</v>
      </c>
      <c r="O116" s="46">
        <f t="shared" si="20"/>
        <v>270200</v>
      </c>
    </row>
    <row r="117" spans="1:15" s="60" customFormat="1" ht="30" customHeight="1">
      <c r="A117" s="57" t="s">
        <v>292</v>
      </c>
      <c r="B117" s="58" t="s">
        <v>293</v>
      </c>
      <c r="C117" s="50"/>
      <c r="D117" s="50"/>
      <c r="E117" s="50"/>
      <c r="F117" s="50">
        <v>152600</v>
      </c>
      <c r="G117" s="50">
        <v>123600</v>
      </c>
      <c r="H117" s="50"/>
      <c r="I117" s="50"/>
      <c r="J117" s="50"/>
      <c r="K117" s="50"/>
      <c r="L117" s="50"/>
      <c r="M117" s="50"/>
      <c r="N117" s="50"/>
      <c r="O117" s="43">
        <f t="shared" si="17"/>
        <v>152600</v>
      </c>
    </row>
    <row r="118" spans="1:15" s="60" customFormat="1" ht="16.5" customHeight="1">
      <c r="A118" s="57" t="s">
        <v>294</v>
      </c>
      <c r="B118" s="58" t="s">
        <v>295</v>
      </c>
      <c r="C118" s="65"/>
      <c r="D118" s="46"/>
      <c r="E118" s="46"/>
      <c r="F118" s="65">
        <v>77100</v>
      </c>
      <c r="G118" s="65">
        <v>59200</v>
      </c>
      <c r="H118" s="46"/>
      <c r="I118" s="46"/>
      <c r="J118" s="46"/>
      <c r="K118" s="46"/>
      <c r="L118" s="65">
        <v>8000</v>
      </c>
      <c r="M118" s="46"/>
      <c r="N118" s="46"/>
      <c r="O118" s="43">
        <f>C118+F118+I118+L118</f>
        <v>85100</v>
      </c>
    </row>
    <row r="119" spans="1:15" s="60" customFormat="1" ht="16.5" customHeight="1">
      <c r="A119" s="57" t="s">
        <v>296</v>
      </c>
      <c r="B119" s="58" t="s">
        <v>297</v>
      </c>
      <c r="C119" s="65"/>
      <c r="D119" s="46"/>
      <c r="E119" s="46"/>
      <c r="F119" s="65">
        <v>32500</v>
      </c>
      <c r="G119" s="65"/>
      <c r="H119" s="46"/>
      <c r="I119" s="46"/>
      <c r="J119" s="46"/>
      <c r="K119" s="46"/>
      <c r="L119" s="65"/>
      <c r="M119" s="46"/>
      <c r="N119" s="46"/>
      <c r="O119" s="43">
        <f t="shared" si="17"/>
        <v>32500</v>
      </c>
    </row>
    <row r="120" spans="1:15" s="35" customFormat="1" ht="18" customHeight="1">
      <c r="A120" s="62"/>
      <c r="B120" s="161" t="s">
        <v>298</v>
      </c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</row>
    <row r="121" spans="1:15" s="60" customFormat="1" ht="18" customHeight="1">
      <c r="A121" s="50"/>
      <c r="B121" s="45" t="s">
        <v>133</v>
      </c>
      <c r="C121" s="46">
        <f aca="true" t="shared" si="21" ref="C121:O121">SUM(C122,C123,C124,C125,C126,C127,C128,C129,C133,C146)</f>
        <v>2430800</v>
      </c>
      <c r="D121" s="46">
        <f t="shared" si="21"/>
        <v>1867400</v>
      </c>
      <c r="E121" s="46">
        <f t="shared" si="21"/>
        <v>36000</v>
      </c>
      <c r="F121" s="46">
        <f t="shared" si="21"/>
        <v>542957</v>
      </c>
      <c r="G121" s="46">
        <f t="shared" si="21"/>
        <v>0</v>
      </c>
      <c r="H121" s="46">
        <f t="shared" si="21"/>
        <v>542957</v>
      </c>
      <c r="I121" s="46">
        <f t="shared" si="21"/>
        <v>0</v>
      </c>
      <c r="J121" s="46">
        <f t="shared" si="21"/>
        <v>0</v>
      </c>
      <c r="K121" s="46">
        <f t="shared" si="21"/>
        <v>0</v>
      </c>
      <c r="L121" s="46">
        <f t="shared" si="21"/>
        <v>61760</v>
      </c>
      <c r="M121" s="46">
        <f t="shared" si="21"/>
        <v>0</v>
      </c>
      <c r="N121" s="46">
        <f t="shared" si="21"/>
        <v>2000</v>
      </c>
      <c r="O121" s="46">
        <f t="shared" si="21"/>
        <v>3035517</v>
      </c>
    </row>
    <row r="122" spans="1:15" s="42" customFormat="1" ht="17.25" customHeight="1">
      <c r="A122" s="43" t="s">
        <v>299</v>
      </c>
      <c r="B122" s="80" t="s">
        <v>300</v>
      </c>
      <c r="C122" s="43">
        <v>611500</v>
      </c>
      <c r="D122" s="43">
        <v>516000</v>
      </c>
      <c r="E122" s="43">
        <v>1000</v>
      </c>
      <c r="F122" s="43"/>
      <c r="G122" s="43"/>
      <c r="H122" s="43"/>
      <c r="I122" s="43"/>
      <c r="J122" s="43"/>
      <c r="K122" s="43"/>
      <c r="L122" s="43">
        <f>1300+1100</f>
        <v>2400</v>
      </c>
      <c r="M122" s="43"/>
      <c r="N122" s="43"/>
      <c r="O122" s="43">
        <f>C122+F122+I122+L122</f>
        <v>613900</v>
      </c>
    </row>
    <row r="123" spans="1:15" s="42" customFormat="1" ht="17.25" customHeight="1">
      <c r="A123" s="43" t="s">
        <v>301</v>
      </c>
      <c r="B123" s="45" t="s">
        <v>302</v>
      </c>
      <c r="C123" s="43">
        <v>182500</v>
      </c>
      <c r="D123" s="43">
        <v>153500</v>
      </c>
      <c r="E123" s="43"/>
      <c r="F123" s="43"/>
      <c r="G123" s="43"/>
      <c r="H123" s="43"/>
      <c r="I123" s="43"/>
      <c r="J123" s="43"/>
      <c r="K123" s="43"/>
      <c r="L123" s="43">
        <f>7800+6000</f>
        <v>13800</v>
      </c>
      <c r="M123" s="43"/>
      <c r="N123" s="43"/>
      <c r="O123" s="43">
        <f aca="true" t="shared" si="22" ref="O123:O128">C123+F123+I123+L123</f>
        <v>196300</v>
      </c>
    </row>
    <row r="124" spans="1:15" s="56" customFormat="1" ht="17.25" customHeight="1">
      <c r="A124" s="43" t="s">
        <v>303</v>
      </c>
      <c r="B124" s="45" t="s">
        <v>304</v>
      </c>
      <c r="C124" s="43">
        <v>602700</v>
      </c>
      <c r="D124" s="43">
        <v>535000</v>
      </c>
      <c r="E124" s="43"/>
      <c r="F124" s="43"/>
      <c r="G124" s="43"/>
      <c r="H124" s="43"/>
      <c r="I124" s="43"/>
      <c r="J124" s="43"/>
      <c r="K124" s="43"/>
      <c r="L124" s="43">
        <f>10700+17500</f>
        <v>28200</v>
      </c>
      <c r="M124" s="43"/>
      <c r="N124" s="43">
        <v>2000</v>
      </c>
      <c r="O124" s="43">
        <f t="shared" si="22"/>
        <v>630900</v>
      </c>
    </row>
    <row r="125" spans="1:15" s="56" customFormat="1" ht="17.25" customHeight="1">
      <c r="A125" s="43" t="s">
        <v>305</v>
      </c>
      <c r="B125" s="45" t="s">
        <v>306</v>
      </c>
      <c r="C125" s="43">
        <v>103800</v>
      </c>
      <c r="D125" s="43">
        <v>87000</v>
      </c>
      <c r="E125" s="43"/>
      <c r="F125" s="43"/>
      <c r="G125" s="43"/>
      <c r="H125" s="43"/>
      <c r="I125" s="43"/>
      <c r="J125" s="43"/>
      <c r="K125" s="43"/>
      <c r="L125" s="43">
        <f>100+500+1500</f>
        <v>2100</v>
      </c>
      <c r="M125" s="43"/>
      <c r="N125" s="43"/>
      <c r="O125" s="43">
        <f t="shared" si="22"/>
        <v>105900</v>
      </c>
    </row>
    <row r="126" spans="1:15" s="56" customFormat="1" ht="17.25" customHeight="1">
      <c r="A126" s="43" t="s">
        <v>307</v>
      </c>
      <c r="B126" s="45" t="s">
        <v>308</v>
      </c>
      <c r="C126" s="43">
        <v>90200</v>
      </c>
      <c r="D126" s="43">
        <v>75000</v>
      </c>
      <c r="E126" s="43"/>
      <c r="F126" s="43"/>
      <c r="G126" s="43"/>
      <c r="H126" s="43"/>
      <c r="I126" s="43"/>
      <c r="J126" s="43"/>
      <c r="K126" s="43"/>
      <c r="L126" s="43">
        <f>250+800</f>
        <v>1050</v>
      </c>
      <c r="M126" s="43"/>
      <c r="N126" s="43"/>
      <c r="O126" s="43">
        <f t="shared" si="22"/>
        <v>91250</v>
      </c>
    </row>
    <row r="127" spans="1:15" s="56" customFormat="1" ht="29.25" customHeight="1">
      <c r="A127" s="43" t="s">
        <v>309</v>
      </c>
      <c r="B127" s="45" t="s">
        <v>310</v>
      </c>
      <c r="C127" s="43">
        <v>95100</v>
      </c>
      <c r="D127" s="43">
        <v>77300</v>
      </c>
      <c r="E127" s="43"/>
      <c r="F127" s="43"/>
      <c r="G127" s="43"/>
      <c r="H127" s="43"/>
      <c r="I127" s="43"/>
      <c r="J127" s="43"/>
      <c r="K127" s="43"/>
      <c r="L127" s="43">
        <f>100+2000</f>
        <v>2100</v>
      </c>
      <c r="M127" s="43"/>
      <c r="N127" s="43"/>
      <c r="O127" s="43">
        <f t="shared" si="22"/>
        <v>97200</v>
      </c>
    </row>
    <row r="128" spans="1:15" s="56" customFormat="1" ht="17.25" customHeight="1">
      <c r="A128" s="43" t="s">
        <v>311</v>
      </c>
      <c r="B128" s="45" t="s">
        <v>312</v>
      </c>
      <c r="C128" s="43">
        <v>108500</v>
      </c>
      <c r="D128" s="43">
        <v>94600</v>
      </c>
      <c r="E128" s="43"/>
      <c r="F128" s="43"/>
      <c r="G128" s="43"/>
      <c r="H128" s="43"/>
      <c r="I128" s="43"/>
      <c r="J128" s="43"/>
      <c r="K128" s="43"/>
      <c r="L128" s="43">
        <f>200+1800</f>
        <v>2000</v>
      </c>
      <c r="M128" s="43"/>
      <c r="N128" s="43"/>
      <c r="O128" s="43">
        <f t="shared" si="22"/>
        <v>110500</v>
      </c>
    </row>
    <row r="129" spans="1:15" s="36" customFormat="1" ht="15" customHeight="1">
      <c r="A129" s="43" t="s">
        <v>313</v>
      </c>
      <c r="B129" s="80" t="s">
        <v>314</v>
      </c>
      <c r="C129" s="43">
        <f>SUM(C130:C132)</f>
        <v>383100</v>
      </c>
      <c r="D129" s="43">
        <f aca="true" t="shared" si="23" ref="D129:I129">SUM(D130:D132)</f>
        <v>329000</v>
      </c>
      <c r="E129" s="43">
        <f t="shared" si="23"/>
        <v>0</v>
      </c>
      <c r="F129" s="43">
        <f t="shared" si="23"/>
        <v>0</v>
      </c>
      <c r="G129" s="43">
        <f t="shared" si="23"/>
        <v>0</v>
      </c>
      <c r="H129" s="43">
        <f t="shared" si="23"/>
        <v>0</v>
      </c>
      <c r="I129" s="43">
        <f t="shared" si="23"/>
        <v>0</v>
      </c>
      <c r="J129" s="43"/>
      <c r="K129" s="43">
        <f>SUM(K130:K132)</f>
        <v>0</v>
      </c>
      <c r="L129" s="43">
        <f>SUM(L130:L132)</f>
        <v>10110</v>
      </c>
      <c r="M129" s="43">
        <f>SUM(M130:M132)</f>
        <v>0</v>
      </c>
      <c r="N129" s="43">
        <f>SUM(N130:N132)</f>
        <v>0</v>
      </c>
      <c r="O129" s="43">
        <f>C129+F129+I129+L129</f>
        <v>393210</v>
      </c>
    </row>
    <row r="130" spans="1:15" s="36" customFormat="1" ht="15.75" customHeight="1">
      <c r="A130" s="57" t="s">
        <v>315</v>
      </c>
      <c r="B130" s="49" t="s">
        <v>316</v>
      </c>
      <c r="C130" s="50">
        <v>354100</v>
      </c>
      <c r="D130" s="50">
        <v>329000</v>
      </c>
      <c r="E130" s="50"/>
      <c r="F130" s="43"/>
      <c r="G130" s="50"/>
      <c r="H130" s="50"/>
      <c r="I130" s="43"/>
      <c r="J130" s="43"/>
      <c r="K130" s="50"/>
      <c r="L130" s="50">
        <f>3110+7000</f>
        <v>10110</v>
      </c>
      <c r="M130" s="50"/>
      <c r="N130" s="50"/>
      <c r="O130" s="43">
        <f>C130+F130+I130+L130</f>
        <v>364210</v>
      </c>
    </row>
    <row r="131" spans="1:15" s="36" customFormat="1" ht="43.5" customHeight="1">
      <c r="A131" s="57" t="s">
        <v>317</v>
      </c>
      <c r="B131" s="49" t="s">
        <v>318</v>
      </c>
      <c r="C131" s="65">
        <f>8000+6000</f>
        <v>14000</v>
      </c>
      <c r="D131" s="50"/>
      <c r="E131" s="50"/>
      <c r="F131" s="46"/>
      <c r="G131" s="50"/>
      <c r="H131" s="50"/>
      <c r="I131" s="46"/>
      <c r="J131" s="46"/>
      <c r="K131" s="50"/>
      <c r="L131" s="46"/>
      <c r="M131" s="50"/>
      <c r="N131" s="50"/>
      <c r="O131" s="43">
        <f>C131+F131+I131+L131</f>
        <v>14000</v>
      </c>
    </row>
    <row r="132" spans="1:15" s="36" customFormat="1" ht="16.5" customHeight="1">
      <c r="A132" s="57" t="s">
        <v>319</v>
      </c>
      <c r="B132" s="49" t="s">
        <v>320</v>
      </c>
      <c r="C132" s="65">
        <v>15000</v>
      </c>
      <c r="D132" s="50"/>
      <c r="E132" s="50"/>
      <c r="F132" s="46"/>
      <c r="G132" s="50"/>
      <c r="H132" s="50"/>
      <c r="I132" s="46"/>
      <c r="J132" s="46"/>
      <c r="K132" s="50"/>
      <c r="L132" s="46"/>
      <c r="M132" s="50"/>
      <c r="N132" s="50"/>
      <c r="O132" s="43">
        <f>C132+F132+I132+L132</f>
        <v>15000</v>
      </c>
    </row>
    <row r="133" spans="1:15" s="60" customFormat="1" ht="17.25" customHeight="1">
      <c r="A133" s="43" t="s">
        <v>321</v>
      </c>
      <c r="B133" s="45" t="s">
        <v>322</v>
      </c>
      <c r="C133" s="46">
        <f aca="true" t="shared" si="24" ref="C133:N133">SUM(C134:C145)</f>
        <v>138400</v>
      </c>
      <c r="D133" s="46">
        <f t="shared" si="24"/>
        <v>0</v>
      </c>
      <c r="E133" s="46">
        <f t="shared" si="24"/>
        <v>0</v>
      </c>
      <c r="F133" s="46">
        <f t="shared" si="24"/>
        <v>542957</v>
      </c>
      <c r="G133" s="46">
        <f t="shared" si="24"/>
        <v>0</v>
      </c>
      <c r="H133" s="46">
        <f t="shared" si="24"/>
        <v>542957</v>
      </c>
      <c r="I133" s="46">
        <f t="shared" si="24"/>
        <v>0</v>
      </c>
      <c r="J133" s="46">
        <f t="shared" si="24"/>
        <v>0</v>
      </c>
      <c r="K133" s="46">
        <f t="shared" si="24"/>
        <v>0</v>
      </c>
      <c r="L133" s="46">
        <f t="shared" si="24"/>
        <v>0</v>
      </c>
      <c r="M133" s="46">
        <f t="shared" si="24"/>
        <v>0</v>
      </c>
      <c r="N133" s="46">
        <f t="shared" si="24"/>
        <v>0</v>
      </c>
      <c r="O133" s="43">
        <f aca="true" t="shared" si="25" ref="O133:O149">C133+F133+I133+L133</f>
        <v>681357</v>
      </c>
    </row>
    <row r="134" spans="1:15" s="77" customFormat="1" ht="30" customHeight="1">
      <c r="A134" s="57" t="s">
        <v>323</v>
      </c>
      <c r="B134" s="58" t="s">
        <v>324</v>
      </c>
      <c r="C134" s="65">
        <v>14900</v>
      </c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43">
        <f t="shared" si="25"/>
        <v>14900</v>
      </c>
    </row>
    <row r="135" spans="1:15" s="77" customFormat="1" ht="45.75" customHeight="1">
      <c r="A135" s="57" t="s">
        <v>325</v>
      </c>
      <c r="B135" s="58" t="s">
        <v>326</v>
      </c>
      <c r="C135" s="65"/>
      <c r="D135" s="65"/>
      <c r="E135" s="65"/>
      <c r="F135" s="65">
        <f>522000+15312</f>
        <v>537312</v>
      </c>
      <c r="G135" s="65"/>
      <c r="H135" s="65">
        <f>522000+15312</f>
        <v>537312</v>
      </c>
      <c r="I135" s="65"/>
      <c r="J135" s="65"/>
      <c r="K135" s="65"/>
      <c r="L135" s="65"/>
      <c r="M135" s="65"/>
      <c r="N135" s="65"/>
      <c r="O135" s="43">
        <f t="shared" si="25"/>
        <v>537312</v>
      </c>
    </row>
    <row r="136" spans="1:15" s="77" customFormat="1" ht="29.25" customHeight="1">
      <c r="A136" s="57" t="s">
        <v>327</v>
      </c>
      <c r="B136" s="58" t="s">
        <v>328</v>
      </c>
      <c r="C136" s="65">
        <v>1500</v>
      </c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43">
        <f t="shared" si="25"/>
        <v>1500</v>
      </c>
    </row>
    <row r="137" spans="1:15" s="77" customFormat="1" ht="28.5" customHeight="1">
      <c r="A137" s="48" t="s">
        <v>329</v>
      </c>
      <c r="B137" s="58" t="s">
        <v>330</v>
      </c>
      <c r="C137" s="65">
        <v>50000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43">
        <f t="shared" si="25"/>
        <v>50000</v>
      </c>
    </row>
    <row r="138" spans="1:15" s="77" customFormat="1" ht="15.75" customHeight="1">
      <c r="A138" s="48" t="s">
        <v>331</v>
      </c>
      <c r="B138" s="58" t="s">
        <v>332</v>
      </c>
      <c r="C138" s="65">
        <v>9000</v>
      </c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43">
        <f t="shared" si="25"/>
        <v>9000</v>
      </c>
    </row>
    <row r="139" spans="1:15" s="77" customFormat="1" ht="15.75" customHeight="1">
      <c r="A139" s="48" t="s">
        <v>333</v>
      </c>
      <c r="B139" s="58" t="s">
        <v>334</v>
      </c>
      <c r="C139" s="65">
        <v>15000</v>
      </c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43">
        <f t="shared" si="25"/>
        <v>15000</v>
      </c>
    </row>
    <row r="140" spans="1:15" s="77" customFormat="1" ht="15.75" customHeight="1">
      <c r="A140" s="57" t="s">
        <v>335</v>
      </c>
      <c r="B140" s="58" t="s">
        <v>336</v>
      </c>
      <c r="C140" s="65">
        <v>5000</v>
      </c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43">
        <f t="shared" si="25"/>
        <v>5000</v>
      </c>
    </row>
    <row r="141" spans="1:15" s="60" customFormat="1" ht="30" customHeight="1">
      <c r="A141" s="57" t="s">
        <v>337</v>
      </c>
      <c r="B141" s="58" t="s">
        <v>338</v>
      </c>
      <c r="C141" s="50">
        <v>18000</v>
      </c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43">
        <f t="shared" si="25"/>
        <v>18000</v>
      </c>
    </row>
    <row r="142" spans="1:15" s="60" customFormat="1" ht="15.75" customHeight="1">
      <c r="A142" s="57" t="s">
        <v>339</v>
      </c>
      <c r="B142" s="58" t="s">
        <v>340</v>
      </c>
      <c r="C142" s="50">
        <v>8000</v>
      </c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43">
        <f t="shared" si="25"/>
        <v>8000</v>
      </c>
    </row>
    <row r="143" spans="1:15" s="77" customFormat="1" ht="28.5" customHeight="1">
      <c r="A143" s="54" t="s">
        <v>341</v>
      </c>
      <c r="B143" s="58" t="s">
        <v>342</v>
      </c>
      <c r="C143" s="65">
        <v>10000</v>
      </c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43">
        <f t="shared" si="25"/>
        <v>10000</v>
      </c>
    </row>
    <row r="144" spans="1:15" s="77" customFormat="1" ht="29.25" customHeight="1">
      <c r="A144" s="54" t="s">
        <v>343</v>
      </c>
      <c r="B144" s="58" t="s">
        <v>344</v>
      </c>
      <c r="C144" s="65">
        <v>7000</v>
      </c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43">
        <f t="shared" si="25"/>
        <v>7000</v>
      </c>
    </row>
    <row r="145" spans="1:15" s="77" customFormat="1" ht="29.25" customHeight="1">
      <c r="A145" s="54" t="s">
        <v>345</v>
      </c>
      <c r="B145" s="58" t="s">
        <v>346</v>
      </c>
      <c r="C145" s="65"/>
      <c r="D145" s="65"/>
      <c r="E145" s="65"/>
      <c r="F145" s="65">
        <v>5645</v>
      </c>
      <c r="G145" s="65"/>
      <c r="H145" s="65">
        <v>5645</v>
      </c>
      <c r="I145" s="65"/>
      <c r="J145" s="65"/>
      <c r="K145" s="65"/>
      <c r="L145" s="65"/>
      <c r="M145" s="65"/>
      <c r="N145" s="65"/>
      <c r="O145" s="43">
        <f t="shared" si="25"/>
        <v>5645</v>
      </c>
    </row>
    <row r="146" spans="1:15" s="56" customFormat="1" ht="27.75" customHeight="1">
      <c r="A146" s="43" t="s">
        <v>347</v>
      </c>
      <c r="B146" s="45" t="s">
        <v>173</v>
      </c>
      <c r="C146" s="43">
        <f aca="true" t="shared" si="26" ref="C146:N146">SUM(C147:C149)</f>
        <v>115000</v>
      </c>
      <c r="D146" s="43">
        <f t="shared" si="26"/>
        <v>0</v>
      </c>
      <c r="E146" s="43">
        <f t="shared" si="26"/>
        <v>35000</v>
      </c>
      <c r="F146" s="43">
        <f t="shared" si="26"/>
        <v>0</v>
      </c>
      <c r="G146" s="43">
        <f t="shared" si="26"/>
        <v>0</v>
      </c>
      <c r="H146" s="43">
        <f t="shared" si="26"/>
        <v>0</v>
      </c>
      <c r="I146" s="43">
        <f t="shared" si="26"/>
        <v>0</v>
      </c>
      <c r="J146" s="43">
        <f t="shared" si="26"/>
        <v>0</v>
      </c>
      <c r="K146" s="43">
        <f t="shared" si="26"/>
        <v>0</v>
      </c>
      <c r="L146" s="43">
        <f t="shared" si="26"/>
        <v>0</v>
      </c>
      <c r="M146" s="43">
        <f t="shared" si="26"/>
        <v>0</v>
      </c>
      <c r="N146" s="43">
        <f t="shared" si="26"/>
        <v>0</v>
      </c>
      <c r="O146" s="43">
        <f t="shared" si="25"/>
        <v>115000</v>
      </c>
    </row>
    <row r="147" spans="1:15" s="60" customFormat="1" ht="30.75" customHeight="1">
      <c r="A147" s="53" t="s">
        <v>348</v>
      </c>
      <c r="B147" s="49" t="s">
        <v>349</v>
      </c>
      <c r="C147" s="50">
        <v>65000</v>
      </c>
      <c r="D147" s="61"/>
      <c r="E147" s="50">
        <v>35000</v>
      </c>
      <c r="F147" s="61"/>
      <c r="G147" s="61"/>
      <c r="H147" s="61"/>
      <c r="I147" s="61"/>
      <c r="J147" s="61"/>
      <c r="K147" s="61"/>
      <c r="L147" s="61"/>
      <c r="M147" s="61"/>
      <c r="N147" s="61"/>
      <c r="O147" s="43">
        <f t="shared" si="25"/>
        <v>65000</v>
      </c>
    </row>
    <row r="148" spans="1:15" s="77" customFormat="1" ht="44.25" customHeight="1">
      <c r="A148" s="54" t="s">
        <v>350</v>
      </c>
      <c r="B148" s="58" t="s">
        <v>351</v>
      </c>
      <c r="C148" s="50">
        <v>10000</v>
      </c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43">
        <f>C148+F148+I148+L148</f>
        <v>10000</v>
      </c>
    </row>
    <row r="149" spans="1:15" s="77" customFormat="1" ht="15.75" customHeight="1">
      <c r="A149" s="54" t="s">
        <v>352</v>
      </c>
      <c r="B149" s="58" t="s">
        <v>353</v>
      </c>
      <c r="C149" s="50">
        <f>40000</f>
        <v>40000</v>
      </c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43">
        <f t="shared" si="25"/>
        <v>40000</v>
      </c>
    </row>
    <row r="150" spans="1:15" s="35" customFormat="1" ht="17.25" customHeight="1">
      <c r="A150" s="62"/>
      <c r="B150" s="155" t="s">
        <v>354</v>
      </c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7"/>
    </row>
    <row r="151" spans="1:15" s="60" customFormat="1" ht="20.25" customHeight="1">
      <c r="A151" s="50"/>
      <c r="B151" s="45" t="s">
        <v>133</v>
      </c>
      <c r="C151" s="46">
        <f aca="true" t="shared" si="27" ref="C151:N151">SUM(C152:C154,C157:C160,C163:C163,C166,C169,C172,C175:C175,C181,C178,C184:C186,C187,C196)</f>
        <v>5395100</v>
      </c>
      <c r="D151" s="46">
        <f t="shared" si="27"/>
        <v>3749525</v>
      </c>
      <c r="E151" s="46">
        <f t="shared" si="27"/>
        <v>82300</v>
      </c>
      <c r="F151" s="46">
        <f t="shared" si="27"/>
        <v>202851</v>
      </c>
      <c r="G151" s="46">
        <f t="shared" si="27"/>
        <v>15675</v>
      </c>
      <c r="H151" s="46">
        <f t="shared" si="27"/>
        <v>52647</v>
      </c>
      <c r="I151" s="46">
        <f t="shared" si="27"/>
        <v>6077900</v>
      </c>
      <c r="J151" s="46">
        <f t="shared" si="27"/>
        <v>5843430</v>
      </c>
      <c r="K151" s="46">
        <f t="shared" si="27"/>
        <v>12009</v>
      </c>
      <c r="L151" s="46">
        <f t="shared" si="27"/>
        <v>292700</v>
      </c>
      <c r="M151" s="46">
        <f t="shared" si="27"/>
        <v>23000</v>
      </c>
      <c r="N151" s="46">
        <f t="shared" si="27"/>
        <v>4900</v>
      </c>
      <c r="O151" s="43">
        <f>C151+F151+I151+L151</f>
        <v>11968551</v>
      </c>
    </row>
    <row r="152" spans="1:15" s="85" customFormat="1" ht="19.5" customHeight="1">
      <c r="A152" s="46" t="s">
        <v>355</v>
      </c>
      <c r="B152" s="87" t="s">
        <v>356</v>
      </c>
      <c r="C152" s="46">
        <v>359200</v>
      </c>
      <c r="D152" s="46">
        <v>215100</v>
      </c>
      <c r="E152" s="46"/>
      <c r="F152" s="46"/>
      <c r="G152" s="46"/>
      <c r="H152" s="46"/>
      <c r="I152" s="46">
        <v>895629</v>
      </c>
      <c r="J152" s="46">
        <v>861698</v>
      </c>
      <c r="K152" s="46">
        <v>3000</v>
      </c>
      <c r="L152" s="46">
        <f>3930+530</f>
        <v>4460</v>
      </c>
      <c r="M152" s="46"/>
      <c r="N152" s="46"/>
      <c r="O152" s="43">
        <f aca="true" t="shared" si="28" ref="O152:O200">C152+F152+I152+L152</f>
        <v>1259289</v>
      </c>
    </row>
    <row r="153" spans="1:15" s="85" customFormat="1" ht="20.25" customHeight="1">
      <c r="A153" s="46" t="s">
        <v>357</v>
      </c>
      <c r="B153" s="80" t="s">
        <v>358</v>
      </c>
      <c r="C153" s="46">
        <v>323100</v>
      </c>
      <c r="D153" s="46">
        <v>223500</v>
      </c>
      <c r="E153" s="46"/>
      <c r="F153" s="46"/>
      <c r="G153" s="46"/>
      <c r="H153" s="46"/>
      <c r="I153" s="46">
        <v>539156</v>
      </c>
      <c r="J153" s="46">
        <v>519895</v>
      </c>
      <c r="K153" s="46"/>
      <c r="L153" s="46"/>
      <c r="M153" s="46"/>
      <c r="N153" s="46"/>
      <c r="O153" s="43">
        <f t="shared" si="28"/>
        <v>862256</v>
      </c>
    </row>
    <row r="154" spans="1:15" s="85" customFormat="1" ht="29.25" customHeight="1">
      <c r="A154" s="46" t="s">
        <v>359</v>
      </c>
      <c r="B154" s="80" t="s">
        <v>360</v>
      </c>
      <c r="C154" s="46">
        <f>C155+C156</f>
        <v>341900</v>
      </c>
      <c r="D154" s="46">
        <f aca="true" t="shared" si="29" ref="D154:L154">D155+D156</f>
        <v>235500</v>
      </c>
      <c r="E154" s="46">
        <f t="shared" si="29"/>
        <v>0</v>
      </c>
      <c r="F154" s="46">
        <f t="shared" si="29"/>
        <v>0</v>
      </c>
      <c r="G154" s="46">
        <f t="shared" si="29"/>
        <v>0</v>
      </c>
      <c r="H154" s="46">
        <f t="shared" si="29"/>
        <v>0</v>
      </c>
      <c r="I154" s="46">
        <f t="shared" si="29"/>
        <v>430209</v>
      </c>
      <c r="J154" s="46">
        <f>J155+J156</f>
        <v>414521</v>
      </c>
      <c r="K154" s="46">
        <f t="shared" si="29"/>
        <v>0</v>
      </c>
      <c r="L154" s="46">
        <f t="shared" si="29"/>
        <v>9560</v>
      </c>
      <c r="M154" s="46">
        <f>M155+M156</f>
        <v>0</v>
      </c>
      <c r="N154" s="46">
        <f>N155+N156</f>
        <v>0</v>
      </c>
      <c r="O154" s="43">
        <f t="shared" si="28"/>
        <v>781669</v>
      </c>
    </row>
    <row r="155" spans="1:15" s="85" customFormat="1" ht="15" customHeight="1">
      <c r="A155" s="79" t="s">
        <v>361</v>
      </c>
      <c r="B155" s="49" t="s">
        <v>362</v>
      </c>
      <c r="C155" s="65">
        <v>79830</v>
      </c>
      <c r="D155" s="65">
        <v>70300</v>
      </c>
      <c r="E155" s="65"/>
      <c r="F155" s="65"/>
      <c r="G155" s="65"/>
      <c r="H155" s="65"/>
      <c r="I155" s="65">
        <v>28728</v>
      </c>
      <c r="J155" s="65">
        <v>27726</v>
      </c>
      <c r="K155" s="65"/>
      <c r="L155" s="65">
        <v>9560</v>
      </c>
      <c r="M155" s="65"/>
      <c r="N155" s="65"/>
      <c r="O155" s="43">
        <f t="shared" si="28"/>
        <v>118118</v>
      </c>
    </row>
    <row r="156" spans="1:15" s="85" customFormat="1" ht="15" customHeight="1">
      <c r="A156" s="79" t="s">
        <v>363</v>
      </c>
      <c r="B156" s="49" t="s">
        <v>364</v>
      </c>
      <c r="C156" s="65">
        <v>262070</v>
      </c>
      <c r="D156" s="65">
        <v>165200</v>
      </c>
      <c r="E156" s="65"/>
      <c r="F156" s="65"/>
      <c r="G156" s="65"/>
      <c r="H156" s="65"/>
      <c r="I156" s="65">
        <v>401481</v>
      </c>
      <c r="J156" s="65">
        <v>386795</v>
      </c>
      <c r="K156" s="65"/>
      <c r="L156" s="65"/>
      <c r="M156" s="65"/>
      <c r="N156" s="65"/>
      <c r="O156" s="43">
        <f t="shared" si="28"/>
        <v>663551</v>
      </c>
    </row>
    <row r="157" spans="1:15" s="85" customFormat="1" ht="18.75" customHeight="1">
      <c r="A157" s="46" t="s">
        <v>365</v>
      </c>
      <c r="B157" s="80" t="s">
        <v>366</v>
      </c>
      <c r="C157" s="46">
        <v>360700</v>
      </c>
      <c r="D157" s="46">
        <v>256000</v>
      </c>
      <c r="E157" s="46"/>
      <c r="F157" s="46"/>
      <c r="G157" s="46"/>
      <c r="H157" s="46"/>
      <c r="I157" s="46">
        <v>786375</v>
      </c>
      <c r="J157" s="46">
        <v>753128</v>
      </c>
      <c r="K157" s="46"/>
      <c r="L157" s="46">
        <v>1460</v>
      </c>
      <c r="M157" s="46"/>
      <c r="N157" s="46"/>
      <c r="O157" s="43">
        <f>C157+F157+I157+L157</f>
        <v>1148535</v>
      </c>
    </row>
    <row r="158" spans="1:15" s="85" customFormat="1" ht="18.75" customHeight="1">
      <c r="A158" s="46" t="s">
        <v>367</v>
      </c>
      <c r="B158" s="80" t="s">
        <v>368</v>
      </c>
      <c r="C158" s="46">
        <v>307900</v>
      </c>
      <c r="D158" s="46">
        <v>223300</v>
      </c>
      <c r="E158" s="46"/>
      <c r="F158" s="46"/>
      <c r="G158" s="46"/>
      <c r="H158" s="46"/>
      <c r="I158" s="46">
        <v>577734</v>
      </c>
      <c r="J158" s="46">
        <v>554007</v>
      </c>
      <c r="K158" s="46"/>
      <c r="L158" s="46">
        <f>4000+200</f>
        <v>4200</v>
      </c>
      <c r="M158" s="46"/>
      <c r="N158" s="46"/>
      <c r="O158" s="43">
        <f>C158+F158+I158+L158</f>
        <v>889834</v>
      </c>
    </row>
    <row r="159" spans="1:15" s="85" customFormat="1" ht="18" customHeight="1">
      <c r="A159" s="46" t="s">
        <v>369</v>
      </c>
      <c r="B159" s="80" t="s">
        <v>370</v>
      </c>
      <c r="C159" s="46">
        <v>108300</v>
      </c>
      <c r="D159" s="46">
        <v>79600</v>
      </c>
      <c r="E159" s="46"/>
      <c r="F159" s="46"/>
      <c r="G159" s="46"/>
      <c r="H159" s="46"/>
      <c r="I159" s="46">
        <v>133886</v>
      </c>
      <c r="J159" s="46">
        <v>129846</v>
      </c>
      <c r="K159" s="46"/>
      <c r="L159" s="46"/>
      <c r="M159" s="46"/>
      <c r="N159" s="46"/>
      <c r="O159" s="43">
        <f t="shared" si="28"/>
        <v>242186</v>
      </c>
    </row>
    <row r="160" spans="1:15" s="85" customFormat="1" ht="30.75" customHeight="1">
      <c r="A160" s="46" t="s">
        <v>371</v>
      </c>
      <c r="B160" s="80" t="s">
        <v>372</v>
      </c>
      <c r="C160" s="46">
        <f>C161+C162</f>
        <v>226900</v>
      </c>
      <c r="D160" s="46">
        <f aca="true" t="shared" si="30" ref="D160:N160">D161+D162</f>
        <v>175900</v>
      </c>
      <c r="E160" s="46">
        <f t="shared" si="30"/>
        <v>0</v>
      </c>
      <c r="F160" s="46">
        <f t="shared" si="30"/>
        <v>0</v>
      </c>
      <c r="G160" s="46">
        <f t="shared" si="30"/>
        <v>0</v>
      </c>
      <c r="H160" s="46">
        <f t="shared" si="30"/>
        <v>0</v>
      </c>
      <c r="I160" s="46">
        <f t="shared" si="30"/>
        <v>284166</v>
      </c>
      <c r="J160" s="46">
        <f>J161+J162</f>
        <v>275011</v>
      </c>
      <c r="K160" s="46">
        <f t="shared" si="30"/>
        <v>0</v>
      </c>
      <c r="L160" s="46">
        <f t="shared" si="30"/>
        <v>3300</v>
      </c>
      <c r="M160" s="46">
        <f t="shared" si="30"/>
        <v>0</v>
      </c>
      <c r="N160" s="46">
        <f t="shared" si="30"/>
        <v>0</v>
      </c>
      <c r="O160" s="43">
        <f t="shared" si="28"/>
        <v>514366</v>
      </c>
    </row>
    <row r="161" spans="1:15" s="85" customFormat="1" ht="15" customHeight="1">
      <c r="A161" s="88" t="s">
        <v>373</v>
      </c>
      <c r="B161" s="49" t="s">
        <v>362</v>
      </c>
      <c r="C161" s="65">
        <v>49580</v>
      </c>
      <c r="D161" s="65">
        <v>47200</v>
      </c>
      <c r="E161" s="65"/>
      <c r="F161" s="65"/>
      <c r="G161" s="65"/>
      <c r="H161" s="65"/>
      <c r="I161" s="65">
        <v>51548</v>
      </c>
      <c r="J161" s="65">
        <v>49366</v>
      </c>
      <c r="K161" s="65"/>
      <c r="L161" s="65">
        <v>2700</v>
      </c>
      <c r="M161" s="65"/>
      <c r="N161" s="65"/>
      <c r="O161" s="43">
        <f t="shared" si="28"/>
        <v>103828</v>
      </c>
    </row>
    <row r="162" spans="1:15" s="85" customFormat="1" ht="15" customHeight="1">
      <c r="A162" s="79" t="s">
        <v>374</v>
      </c>
      <c r="B162" s="49" t="s">
        <v>364</v>
      </c>
      <c r="C162" s="65">
        <v>177320</v>
      </c>
      <c r="D162" s="65">
        <v>128700</v>
      </c>
      <c r="E162" s="65"/>
      <c r="F162" s="65"/>
      <c r="G162" s="65"/>
      <c r="H162" s="65"/>
      <c r="I162" s="65">
        <v>232618</v>
      </c>
      <c r="J162" s="65">
        <v>225645</v>
      </c>
      <c r="K162" s="65"/>
      <c r="L162" s="65">
        <f>400+200</f>
        <v>600</v>
      </c>
      <c r="M162" s="65"/>
      <c r="N162" s="65"/>
      <c r="O162" s="43">
        <f t="shared" si="28"/>
        <v>410538</v>
      </c>
    </row>
    <row r="163" spans="1:15" s="85" customFormat="1" ht="29.25" customHeight="1">
      <c r="A163" s="46" t="s">
        <v>375</v>
      </c>
      <c r="B163" s="80" t="s">
        <v>376</v>
      </c>
      <c r="C163" s="46">
        <f>C164+C165</f>
        <v>215200</v>
      </c>
      <c r="D163" s="46">
        <f>D164+D165</f>
        <v>175500</v>
      </c>
      <c r="E163" s="46">
        <f aca="true" t="shared" si="31" ref="E163:N163">E164+E165</f>
        <v>0</v>
      </c>
      <c r="F163" s="46">
        <f t="shared" si="31"/>
        <v>0</v>
      </c>
      <c r="G163" s="46">
        <f t="shared" si="31"/>
        <v>0</v>
      </c>
      <c r="H163" s="46">
        <f t="shared" si="31"/>
        <v>0</v>
      </c>
      <c r="I163" s="46">
        <f t="shared" si="31"/>
        <v>255986</v>
      </c>
      <c r="J163" s="46">
        <f>J164+J165</f>
        <v>248108</v>
      </c>
      <c r="K163" s="46">
        <f t="shared" si="31"/>
        <v>0</v>
      </c>
      <c r="L163" s="46">
        <f t="shared" si="31"/>
        <v>6820</v>
      </c>
      <c r="M163" s="46">
        <f t="shared" si="31"/>
        <v>0</v>
      </c>
      <c r="N163" s="46">
        <f t="shared" si="31"/>
        <v>0</v>
      </c>
      <c r="O163" s="43">
        <f>C163+F163+I163+L163</f>
        <v>478006</v>
      </c>
    </row>
    <row r="164" spans="1:15" s="85" customFormat="1" ht="15" customHeight="1">
      <c r="A164" s="89" t="s">
        <v>377</v>
      </c>
      <c r="B164" s="49" t="s">
        <v>362</v>
      </c>
      <c r="C164" s="65">
        <v>36190</v>
      </c>
      <c r="D164" s="65">
        <v>34400</v>
      </c>
      <c r="E164" s="65"/>
      <c r="F164" s="65"/>
      <c r="G164" s="65"/>
      <c r="H164" s="65"/>
      <c r="I164" s="65">
        <v>11761</v>
      </c>
      <c r="J164" s="65">
        <v>10833</v>
      </c>
      <c r="K164" s="65"/>
      <c r="L164" s="65">
        <v>6770</v>
      </c>
      <c r="M164" s="65"/>
      <c r="N164" s="65"/>
      <c r="O164" s="43">
        <f>C164+F164+I164+L164</f>
        <v>54721</v>
      </c>
    </row>
    <row r="165" spans="1:15" s="85" customFormat="1" ht="15" customHeight="1">
      <c r="A165" s="79" t="s">
        <v>378</v>
      </c>
      <c r="B165" s="49" t="s">
        <v>364</v>
      </c>
      <c r="C165" s="65">
        <v>179010</v>
      </c>
      <c r="D165" s="65">
        <v>141100</v>
      </c>
      <c r="E165" s="65"/>
      <c r="F165" s="65"/>
      <c r="G165" s="65"/>
      <c r="H165" s="65"/>
      <c r="I165" s="65">
        <v>244225</v>
      </c>
      <c r="J165" s="65">
        <v>237275</v>
      </c>
      <c r="K165" s="65"/>
      <c r="L165" s="65">
        <v>50</v>
      </c>
      <c r="M165" s="65"/>
      <c r="N165" s="65"/>
      <c r="O165" s="43">
        <f>C165+F165+I165+L165</f>
        <v>423285</v>
      </c>
    </row>
    <row r="166" spans="1:15" s="85" customFormat="1" ht="30.75" customHeight="1">
      <c r="A166" s="46" t="s">
        <v>379</v>
      </c>
      <c r="B166" s="80" t="s">
        <v>380</v>
      </c>
      <c r="C166" s="46">
        <f>C167+C168</f>
        <v>243200</v>
      </c>
      <c r="D166" s="46">
        <f>D167+D168</f>
        <v>190300</v>
      </c>
      <c r="E166" s="46">
        <f aca="true" t="shared" si="32" ref="E166:N166">E167+E168</f>
        <v>0</v>
      </c>
      <c r="F166" s="46">
        <f t="shared" si="32"/>
        <v>0</v>
      </c>
      <c r="G166" s="46">
        <f t="shared" si="32"/>
        <v>0</v>
      </c>
      <c r="H166" s="46">
        <f t="shared" si="32"/>
        <v>0</v>
      </c>
      <c r="I166" s="46">
        <f t="shared" si="32"/>
        <v>368300</v>
      </c>
      <c r="J166" s="46">
        <f>J167+J168</f>
        <v>354712</v>
      </c>
      <c r="K166" s="46">
        <f t="shared" si="32"/>
        <v>0</v>
      </c>
      <c r="L166" s="46">
        <f t="shared" si="32"/>
        <v>3750</v>
      </c>
      <c r="M166" s="46">
        <f t="shared" si="32"/>
        <v>0</v>
      </c>
      <c r="N166" s="46">
        <f t="shared" si="32"/>
        <v>0</v>
      </c>
      <c r="O166" s="43">
        <f t="shared" si="28"/>
        <v>615250</v>
      </c>
    </row>
    <row r="167" spans="1:15" s="85" customFormat="1" ht="15" customHeight="1">
      <c r="A167" s="89" t="s">
        <v>381</v>
      </c>
      <c r="B167" s="49" t="s">
        <v>362</v>
      </c>
      <c r="C167" s="65">
        <v>63870</v>
      </c>
      <c r="D167" s="65">
        <v>56440</v>
      </c>
      <c r="E167" s="65"/>
      <c r="F167" s="65"/>
      <c r="G167" s="65"/>
      <c r="H167" s="65"/>
      <c r="I167" s="65">
        <v>32794</v>
      </c>
      <c r="J167" s="65">
        <v>31000</v>
      </c>
      <c r="K167" s="65"/>
      <c r="L167" s="65">
        <v>3650</v>
      </c>
      <c r="M167" s="65"/>
      <c r="N167" s="65"/>
      <c r="O167" s="43">
        <f t="shared" si="28"/>
        <v>100314</v>
      </c>
    </row>
    <row r="168" spans="1:15" s="85" customFormat="1" ht="15" customHeight="1">
      <c r="A168" s="79" t="s">
        <v>382</v>
      </c>
      <c r="B168" s="49" t="s">
        <v>364</v>
      </c>
      <c r="C168" s="65">
        <v>179330</v>
      </c>
      <c r="D168" s="65">
        <v>133860</v>
      </c>
      <c r="E168" s="65"/>
      <c r="F168" s="65"/>
      <c r="G168" s="65"/>
      <c r="H168" s="65"/>
      <c r="I168" s="65">
        <v>335506</v>
      </c>
      <c r="J168" s="65">
        <v>323712</v>
      </c>
      <c r="K168" s="65"/>
      <c r="L168" s="65">
        <v>100</v>
      </c>
      <c r="M168" s="65"/>
      <c r="N168" s="65"/>
      <c r="O168" s="43">
        <f t="shared" si="28"/>
        <v>514936</v>
      </c>
    </row>
    <row r="169" spans="1:15" s="85" customFormat="1" ht="31.5" customHeight="1">
      <c r="A169" s="46" t="s">
        <v>383</v>
      </c>
      <c r="B169" s="80" t="s">
        <v>384</v>
      </c>
      <c r="C169" s="46">
        <f>C170+C171</f>
        <v>241600</v>
      </c>
      <c r="D169" s="46">
        <f aca="true" t="shared" si="33" ref="D169:L169">D170+D171</f>
        <v>199400</v>
      </c>
      <c r="E169" s="46">
        <f t="shared" si="33"/>
        <v>0</v>
      </c>
      <c r="F169" s="46">
        <f t="shared" si="33"/>
        <v>0</v>
      </c>
      <c r="G169" s="46">
        <f t="shared" si="33"/>
        <v>0</v>
      </c>
      <c r="H169" s="46">
        <f t="shared" si="33"/>
        <v>0</v>
      </c>
      <c r="I169" s="46">
        <f t="shared" si="33"/>
        <v>298888</v>
      </c>
      <c r="J169" s="46">
        <f>J170+J171</f>
        <v>289320</v>
      </c>
      <c r="K169" s="46">
        <f t="shared" si="33"/>
        <v>0</v>
      </c>
      <c r="L169" s="46">
        <f t="shared" si="33"/>
        <v>2840</v>
      </c>
      <c r="M169" s="46">
        <f>M170+M171</f>
        <v>0</v>
      </c>
      <c r="N169" s="46">
        <f>N170+N171</f>
        <v>0</v>
      </c>
      <c r="O169" s="43">
        <f t="shared" si="28"/>
        <v>543328</v>
      </c>
    </row>
    <row r="170" spans="1:15" s="85" customFormat="1" ht="15" customHeight="1">
      <c r="A170" s="89" t="s">
        <v>385</v>
      </c>
      <c r="B170" s="49" t="s">
        <v>362</v>
      </c>
      <c r="C170" s="65">
        <v>89770</v>
      </c>
      <c r="D170" s="65">
        <v>87000</v>
      </c>
      <c r="E170" s="65"/>
      <c r="F170" s="65"/>
      <c r="G170" s="65"/>
      <c r="H170" s="65"/>
      <c r="I170" s="65">
        <v>20800</v>
      </c>
      <c r="J170" s="65">
        <v>20500</v>
      </c>
      <c r="K170" s="65"/>
      <c r="L170" s="65">
        <v>2840</v>
      </c>
      <c r="M170" s="65"/>
      <c r="N170" s="65"/>
      <c r="O170" s="43">
        <f t="shared" si="28"/>
        <v>113410</v>
      </c>
    </row>
    <row r="171" spans="1:15" s="85" customFormat="1" ht="15" customHeight="1">
      <c r="A171" s="79" t="s">
        <v>386</v>
      </c>
      <c r="B171" s="49" t="s">
        <v>364</v>
      </c>
      <c r="C171" s="65">
        <v>151830</v>
      </c>
      <c r="D171" s="65">
        <v>112400</v>
      </c>
      <c r="E171" s="65"/>
      <c r="F171" s="65"/>
      <c r="G171" s="65"/>
      <c r="H171" s="65"/>
      <c r="I171" s="65">
        <v>278088</v>
      </c>
      <c r="J171" s="65">
        <v>268820</v>
      </c>
      <c r="K171" s="65"/>
      <c r="L171" s="65"/>
      <c r="M171" s="65"/>
      <c r="N171" s="65"/>
      <c r="O171" s="43">
        <f t="shared" si="28"/>
        <v>429918</v>
      </c>
    </row>
    <row r="172" spans="1:15" s="85" customFormat="1" ht="30" customHeight="1">
      <c r="A172" s="46" t="s">
        <v>387</v>
      </c>
      <c r="B172" s="80" t="s">
        <v>388</v>
      </c>
      <c r="C172" s="46">
        <f>C173+C174</f>
        <v>227500</v>
      </c>
      <c r="D172" s="46">
        <f aca="true" t="shared" si="34" ref="D172:L172">D173+D174</f>
        <v>168900</v>
      </c>
      <c r="E172" s="46">
        <f t="shared" si="34"/>
        <v>0</v>
      </c>
      <c r="F172" s="46">
        <f t="shared" si="34"/>
        <v>0</v>
      </c>
      <c r="G172" s="46">
        <f t="shared" si="34"/>
        <v>0</v>
      </c>
      <c r="H172" s="46">
        <f t="shared" si="34"/>
        <v>0</v>
      </c>
      <c r="I172" s="46">
        <f t="shared" si="34"/>
        <v>310615</v>
      </c>
      <c r="J172" s="46">
        <f>J173+J174</f>
        <v>300132</v>
      </c>
      <c r="K172" s="46">
        <f t="shared" si="34"/>
        <v>0</v>
      </c>
      <c r="L172" s="46">
        <f t="shared" si="34"/>
        <v>7440</v>
      </c>
      <c r="M172" s="46">
        <f>M173+M174</f>
        <v>0</v>
      </c>
      <c r="N172" s="46">
        <f>N173+N174</f>
        <v>0</v>
      </c>
      <c r="O172" s="43">
        <f t="shared" si="28"/>
        <v>545555</v>
      </c>
    </row>
    <row r="173" spans="1:15" s="85" customFormat="1" ht="15" customHeight="1">
      <c r="A173" s="79" t="s">
        <v>389</v>
      </c>
      <c r="B173" s="49" t="s">
        <v>362</v>
      </c>
      <c r="C173" s="65">
        <v>70762</v>
      </c>
      <c r="D173" s="65">
        <v>54500</v>
      </c>
      <c r="E173" s="65"/>
      <c r="F173" s="65"/>
      <c r="G173" s="65"/>
      <c r="H173" s="65"/>
      <c r="I173" s="65">
        <v>15800</v>
      </c>
      <c r="J173" s="65">
        <v>14470</v>
      </c>
      <c r="K173" s="65"/>
      <c r="L173" s="65">
        <v>7440</v>
      </c>
      <c r="M173" s="65"/>
      <c r="N173" s="65"/>
      <c r="O173" s="43">
        <f t="shared" si="28"/>
        <v>94002</v>
      </c>
    </row>
    <row r="174" spans="1:15" s="85" customFormat="1" ht="15" customHeight="1">
      <c r="A174" s="79" t="s">
        <v>390</v>
      </c>
      <c r="B174" s="49" t="s">
        <v>364</v>
      </c>
      <c r="C174" s="65">
        <v>156738</v>
      </c>
      <c r="D174" s="65">
        <v>114400</v>
      </c>
      <c r="E174" s="65"/>
      <c r="F174" s="65"/>
      <c r="G174" s="65"/>
      <c r="H174" s="65"/>
      <c r="I174" s="65">
        <v>294815</v>
      </c>
      <c r="J174" s="65">
        <v>285662</v>
      </c>
      <c r="K174" s="65"/>
      <c r="L174" s="65"/>
      <c r="M174" s="65"/>
      <c r="N174" s="65"/>
      <c r="O174" s="43">
        <f t="shared" si="28"/>
        <v>451553</v>
      </c>
    </row>
    <row r="175" spans="1:15" s="85" customFormat="1" ht="21" customHeight="1">
      <c r="A175" s="46" t="s">
        <v>391</v>
      </c>
      <c r="B175" s="90" t="s">
        <v>392</v>
      </c>
      <c r="C175" s="46">
        <f>C176+C177</f>
        <v>251100</v>
      </c>
      <c r="D175" s="46">
        <f aca="true" t="shared" si="35" ref="D175:N175">D176+D177</f>
        <v>204600</v>
      </c>
      <c r="E175" s="46">
        <f t="shared" si="35"/>
        <v>0</v>
      </c>
      <c r="F175" s="46">
        <f t="shared" si="35"/>
        <v>0</v>
      </c>
      <c r="G175" s="46">
        <f t="shared" si="35"/>
        <v>0</v>
      </c>
      <c r="H175" s="46">
        <f t="shared" si="35"/>
        <v>0</v>
      </c>
      <c r="I175" s="46">
        <f t="shared" si="35"/>
        <v>298256</v>
      </c>
      <c r="J175" s="46">
        <f>J176+J177</f>
        <v>288824</v>
      </c>
      <c r="K175" s="46">
        <f t="shared" si="35"/>
        <v>0</v>
      </c>
      <c r="L175" s="46">
        <f t="shared" si="35"/>
        <v>9910</v>
      </c>
      <c r="M175" s="46">
        <f t="shared" si="35"/>
        <v>0</v>
      </c>
      <c r="N175" s="46">
        <f t="shared" si="35"/>
        <v>0</v>
      </c>
      <c r="O175" s="43">
        <f t="shared" si="28"/>
        <v>559266</v>
      </c>
    </row>
    <row r="176" spans="1:15" s="85" customFormat="1" ht="15" customHeight="1">
      <c r="A176" s="79" t="s">
        <v>393</v>
      </c>
      <c r="B176" s="49" t="s">
        <v>362</v>
      </c>
      <c r="C176" s="65">
        <v>94755</v>
      </c>
      <c r="D176" s="65">
        <v>80070</v>
      </c>
      <c r="E176" s="65"/>
      <c r="F176" s="65"/>
      <c r="G176" s="65"/>
      <c r="H176" s="65"/>
      <c r="I176" s="65">
        <v>23601</v>
      </c>
      <c r="J176" s="65">
        <v>22200</v>
      </c>
      <c r="K176" s="65"/>
      <c r="L176" s="65">
        <v>9910</v>
      </c>
      <c r="M176" s="65"/>
      <c r="N176" s="65"/>
      <c r="O176" s="43">
        <f t="shared" si="28"/>
        <v>128266</v>
      </c>
    </row>
    <row r="177" spans="1:15" s="85" customFormat="1" ht="15" customHeight="1">
      <c r="A177" s="79" t="s">
        <v>394</v>
      </c>
      <c r="B177" s="49" t="s">
        <v>364</v>
      </c>
      <c r="C177" s="65">
        <v>156345</v>
      </c>
      <c r="D177" s="65">
        <v>124530</v>
      </c>
      <c r="E177" s="65"/>
      <c r="F177" s="65"/>
      <c r="G177" s="65"/>
      <c r="H177" s="65"/>
      <c r="I177" s="65">
        <v>274655</v>
      </c>
      <c r="J177" s="65">
        <v>266624</v>
      </c>
      <c r="K177" s="65"/>
      <c r="L177" s="65"/>
      <c r="M177" s="65"/>
      <c r="N177" s="65"/>
      <c r="O177" s="43">
        <f t="shared" si="28"/>
        <v>431000</v>
      </c>
    </row>
    <row r="178" spans="1:15" s="85" customFormat="1" ht="17.25" customHeight="1">
      <c r="A178" s="46" t="s">
        <v>395</v>
      </c>
      <c r="B178" s="80" t="s">
        <v>396</v>
      </c>
      <c r="C178" s="46">
        <f>C179+C180</f>
        <v>419800</v>
      </c>
      <c r="D178" s="46">
        <f aca="true" t="shared" si="36" ref="D178:N178">D179+D180</f>
        <v>385000</v>
      </c>
      <c r="E178" s="46">
        <f t="shared" si="36"/>
        <v>0</v>
      </c>
      <c r="F178" s="46">
        <f t="shared" si="36"/>
        <v>12800</v>
      </c>
      <c r="G178" s="46">
        <f t="shared" si="36"/>
        <v>0</v>
      </c>
      <c r="H178" s="46">
        <f t="shared" si="36"/>
        <v>0</v>
      </c>
      <c r="I178" s="46">
        <f t="shared" si="36"/>
        <v>252336</v>
      </c>
      <c r="J178" s="46">
        <f>J179+J180</f>
        <v>240595</v>
      </c>
      <c r="K178" s="46">
        <f t="shared" si="36"/>
        <v>0</v>
      </c>
      <c r="L178" s="46">
        <f t="shared" si="36"/>
        <v>58240</v>
      </c>
      <c r="M178" s="46">
        <f t="shared" si="36"/>
        <v>0</v>
      </c>
      <c r="N178" s="46">
        <f t="shared" si="36"/>
        <v>4300</v>
      </c>
      <c r="O178" s="43">
        <f>C178+F178+I178+L178</f>
        <v>743176</v>
      </c>
    </row>
    <row r="179" spans="1:15" s="85" customFormat="1" ht="15" customHeight="1">
      <c r="A179" s="79" t="s">
        <v>397</v>
      </c>
      <c r="B179" s="49" t="s">
        <v>362</v>
      </c>
      <c r="C179" s="65">
        <f>407540-12800</f>
        <v>394740</v>
      </c>
      <c r="D179" s="65">
        <v>360300</v>
      </c>
      <c r="E179" s="65"/>
      <c r="F179" s="65">
        <v>12800</v>
      </c>
      <c r="G179" s="65"/>
      <c r="H179" s="65"/>
      <c r="I179" s="65">
        <v>180609</v>
      </c>
      <c r="J179" s="65">
        <v>170395</v>
      </c>
      <c r="K179" s="65"/>
      <c r="L179" s="65">
        <f>140+470+57630</f>
        <v>58240</v>
      </c>
      <c r="M179" s="65"/>
      <c r="N179" s="65">
        <v>4300</v>
      </c>
      <c r="O179" s="43">
        <f>C179+F179+I179+L179</f>
        <v>646389</v>
      </c>
    </row>
    <row r="180" spans="1:15" s="85" customFormat="1" ht="15" customHeight="1">
      <c r="A180" s="79" t="s">
        <v>398</v>
      </c>
      <c r="B180" s="49" t="s">
        <v>364</v>
      </c>
      <c r="C180" s="65">
        <v>25060</v>
      </c>
      <c r="D180" s="65">
        <v>24700</v>
      </c>
      <c r="E180" s="65"/>
      <c r="F180" s="65"/>
      <c r="G180" s="65"/>
      <c r="H180" s="65"/>
      <c r="I180" s="65">
        <v>71727</v>
      </c>
      <c r="J180" s="65">
        <v>70200</v>
      </c>
      <c r="K180" s="65"/>
      <c r="L180" s="65"/>
      <c r="M180" s="65"/>
      <c r="N180" s="65"/>
      <c r="O180" s="43">
        <f>C180+F180+I180+L180</f>
        <v>96787</v>
      </c>
    </row>
    <row r="181" spans="1:15" s="85" customFormat="1" ht="20.25" customHeight="1">
      <c r="A181" s="46" t="s">
        <v>399</v>
      </c>
      <c r="B181" s="87" t="s">
        <v>400</v>
      </c>
      <c r="C181" s="46">
        <f>C182+C183</f>
        <v>301400</v>
      </c>
      <c r="D181" s="46">
        <f aca="true" t="shared" si="37" ref="D181:K181">D182+D183</f>
        <v>262000</v>
      </c>
      <c r="E181" s="46">
        <f t="shared" si="37"/>
        <v>0</v>
      </c>
      <c r="F181" s="46">
        <f t="shared" si="37"/>
        <v>0</v>
      </c>
      <c r="G181" s="46">
        <f t="shared" si="37"/>
        <v>0</v>
      </c>
      <c r="H181" s="46">
        <f t="shared" si="37"/>
        <v>0</v>
      </c>
      <c r="I181" s="46">
        <f t="shared" si="37"/>
        <v>196827</v>
      </c>
      <c r="J181" s="46">
        <f>J182+J183</f>
        <v>188350</v>
      </c>
      <c r="K181" s="46">
        <f t="shared" si="37"/>
        <v>0</v>
      </c>
      <c r="L181" s="46">
        <f>L182+L183</f>
        <v>36800</v>
      </c>
      <c r="M181" s="46">
        <f>M182+M183</f>
        <v>0</v>
      </c>
      <c r="N181" s="46">
        <f>N182+N183</f>
        <v>600</v>
      </c>
      <c r="O181" s="43">
        <f t="shared" si="28"/>
        <v>535027</v>
      </c>
    </row>
    <row r="182" spans="1:15" s="85" customFormat="1" ht="15" customHeight="1">
      <c r="A182" s="79" t="s">
        <v>401</v>
      </c>
      <c r="B182" s="49" t="s">
        <v>362</v>
      </c>
      <c r="C182" s="65">
        <v>259330</v>
      </c>
      <c r="D182" s="65">
        <v>228200</v>
      </c>
      <c r="E182" s="65"/>
      <c r="F182" s="65"/>
      <c r="G182" s="65"/>
      <c r="H182" s="65"/>
      <c r="I182" s="65">
        <v>93821</v>
      </c>
      <c r="J182" s="65">
        <v>88579</v>
      </c>
      <c r="K182" s="65"/>
      <c r="L182" s="65">
        <v>34070</v>
      </c>
      <c r="M182" s="65"/>
      <c r="N182" s="65">
        <v>600</v>
      </c>
      <c r="O182" s="43">
        <f t="shared" si="28"/>
        <v>387221</v>
      </c>
    </row>
    <row r="183" spans="1:15" s="85" customFormat="1" ht="15" customHeight="1">
      <c r="A183" s="79" t="s">
        <v>402</v>
      </c>
      <c r="B183" s="49" t="s">
        <v>364</v>
      </c>
      <c r="C183" s="65">
        <v>42070</v>
      </c>
      <c r="D183" s="65">
        <v>33800</v>
      </c>
      <c r="E183" s="65"/>
      <c r="F183" s="65"/>
      <c r="G183" s="65"/>
      <c r="H183" s="65"/>
      <c r="I183" s="65">
        <v>103006</v>
      </c>
      <c r="J183" s="65">
        <v>99771</v>
      </c>
      <c r="K183" s="65"/>
      <c r="L183" s="65">
        <f>30+2700</f>
        <v>2730</v>
      </c>
      <c r="M183" s="65"/>
      <c r="N183" s="65"/>
      <c r="O183" s="43">
        <f t="shared" si="28"/>
        <v>147806</v>
      </c>
    </row>
    <row r="184" spans="1:15" s="85" customFormat="1" ht="20.25" customHeight="1">
      <c r="A184" s="46" t="s">
        <v>403</v>
      </c>
      <c r="B184" s="87" t="s">
        <v>404</v>
      </c>
      <c r="C184" s="46">
        <f>405200+15000</f>
        <v>420200</v>
      </c>
      <c r="D184" s="46">
        <f>360000+14800</f>
        <v>374800</v>
      </c>
      <c r="E184" s="46"/>
      <c r="F184" s="46"/>
      <c r="G184" s="46"/>
      <c r="H184" s="46"/>
      <c r="I184" s="46">
        <v>229111</v>
      </c>
      <c r="J184" s="46">
        <v>216889</v>
      </c>
      <c r="K184" s="46"/>
      <c r="L184" s="46">
        <f>200+74220</f>
        <v>74420</v>
      </c>
      <c r="M184" s="46"/>
      <c r="N184" s="46"/>
      <c r="O184" s="43">
        <f t="shared" si="28"/>
        <v>723731</v>
      </c>
    </row>
    <row r="185" spans="1:15" s="85" customFormat="1" ht="19.5" customHeight="1">
      <c r="A185" s="46" t="s">
        <v>405</v>
      </c>
      <c r="B185" s="80" t="s">
        <v>406</v>
      </c>
      <c r="C185" s="46">
        <f>336600-15900</f>
        <v>320700</v>
      </c>
      <c r="D185" s="46">
        <f>320800-15675</f>
        <v>305125</v>
      </c>
      <c r="E185" s="46"/>
      <c r="F185" s="46">
        <v>15900</v>
      </c>
      <c r="G185" s="46">
        <v>15675</v>
      </c>
      <c r="H185" s="46"/>
      <c r="I185" s="46">
        <v>50604</v>
      </c>
      <c r="J185" s="46">
        <v>41000</v>
      </c>
      <c r="K185" s="46">
        <v>9009</v>
      </c>
      <c r="L185" s="46">
        <f>900+35090</f>
        <v>35990</v>
      </c>
      <c r="M185" s="46">
        <v>23000</v>
      </c>
      <c r="N185" s="46"/>
      <c r="O185" s="43">
        <f t="shared" si="28"/>
        <v>423194</v>
      </c>
    </row>
    <row r="186" spans="1:15" s="85" customFormat="1" ht="30.75" customHeight="1">
      <c r="A186" s="46" t="s">
        <v>407</v>
      </c>
      <c r="B186" s="80" t="s">
        <v>408</v>
      </c>
      <c r="C186" s="46">
        <v>95100</v>
      </c>
      <c r="D186" s="46">
        <v>75000</v>
      </c>
      <c r="E186" s="46"/>
      <c r="F186" s="46"/>
      <c r="G186" s="46"/>
      <c r="H186" s="46"/>
      <c r="I186" s="46">
        <v>48943</v>
      </c>
      <c r="J186" s="46">
        <v>48244</v>
      </c>
      <c r="K186" s="46"/>
      <c r="L186" s="46">
        <f>2000+31510</f>
        <v>33510</v>
      </c>
      <c r="M186" s="46"/>
      <c r="N186" s="46"/>
      <c r="O186" s="43">
        <f t="shared" si="28"/>
        <v>177553</v>
      </c>
    </row>
    <row r="187" spans="1:15" s="91" customFormat="1" ht="18" customHeight="1">
      <c r="A187" s="46" t="s">
        <v>409</v>
      </c>
      <c r="B187" s="45" t="s">
        <v>135</v>
      </c>
      <c r="C187" s="46">
        <f aca="true" t="shared" si="38" ref="C187:N187">SUM(C188:C195)</f>
        <v>440300</v>
      </c>
      <c r="D187" s="46">
        <f t="shared" si="38"/>
        <v>0</v>
      </c>
      <c r="E187" s="46">
        <f t="shared" si="38"/>
        <v>47300</v>
      </c>
      <c r="F187" s="46">
        <f t="shared" si="38"/>
        <v>174151</v>
      </c>
      <c r="G187" s="46">
        <f t="shared" si="38"/>
        <v>0</v>
      </c>
      <c r="H187" s="46">
        <f t="shared" si="38"/>
        <v>52647</v>
      </c>
      <c r="I187" s="46">
        <f t="shared" si="38"/>
        <v>120879</v>
      </c>
      <c r="J187" s="46">
        <f t="shared" si="38"/>
        <v>119150</v>
      </c>
      <c r="K187" s="46">
        <f t="shared" si="38"/>
        <v>0</v>
      </c>
      <c r="L187" s="46">
        <f t="shared" si="38"/>
        <v>0</v>
      </c>
      <c r="M187" s="46">
        <f t="shared" si="38"/>
        <v>0</v>
      </c>
      <c r="N187" s="46">
        <f t="shared" si="38"/>
        <v>0</v>
      </c>
      <c r="O187" s="43">
        <f t="shared" si="28"/>
        <v>735330</v>
      </c>
    </row>
    <row r="188" spans="1:15" s="85" customFormat="1" ht="15" customHeight="1">
      <c r="A188" s="79" t="s">
        <v>410</v>
      </c>
      <c r="B188" s="49" t="s">
        <v>411</v>
      </c>
      <c r="C188" s="65">
        <v>380000</v>
      </c>
      <c r="D188" s="65"/>
      <c r="E188" s="65"/>
      <c r="F188" s="46"/>
      <c r="G188" s="65"/>
      <c r="H188" s="65"/>
      <c r="I188" s="46"/>
      <c r="J188" s="46"/>
      <c r="K188" s="65"/>
      <c r="L188" s="46"/>
      <c r="M188" s="65"/>
      <c r="N188" s="65"/>
      <c r="O188" s="43">
        <f t="shared" si="28"/>
        <v>380000</v>
      </c>
    </row>
    <row r="189" spans="1:15" s="85" customFormat="1" ht="28.5" customHeight="1">
      <c r="A189" s="79" t="s">
        <v>412</v>
      </c>
      <c r="B189" s="49" t="s">
        <v>413</v>
      </c>
      <c r="C189" s="65">
        <v>5000</v>
      </c>
      <c r="D189" s="65"/>
      <c r="E189" s="65"/>
      <c r="F189" s="46"/>
      <c r="G189" s="65"/>
      <c r="H189" s="65"/>
      <c r="I189" s="46"/>
      <c r="J189" s="46"/>
      <c r="K189" s="65"/>
      <c r="L189" s="46"/>
      <c r="M189" s="65"/>
      <c r="N189" s="65"/>
      <c r="O189" s="43">
        <f t="shared" si="28"/>
        <v>5000</v>
      </c>
    </row>
    <row r="190" spans="1:15" s="94" customFormat="1" ht="27.75" customHeight="1">
      <c r="A190" s="79" t="s">
        <v>414</v>
      </c>
      <c r="B190" s="49" t="s">
        <v>415</v>
      </c>
      <c r="C190" s="65">
        <v>8000</v>
      </c>
      <c r="D190" s="65"/>
      <c r="E190" s="92"/>
      <c r="F190" s="93"/>
      <c r="G190" s="92"/>
      <c r="H190" s="92"/>
      <c r="I190" s="93"/>
      <c r="J190" s="93"/>
      <c r="K190" s="92"/>
      <c r="L190" s="93"/>
      <c r="M190" s="92"/>
      <c r="N190" s="92"/>
      <c r="O190" s="43">
        <f t="shared" si="28"/>
        <v>8000</v>
      </c>
    </row>
    <row r="191" spans="1:15" s="94" customFormat="1" ht="17.25" customHeight="1">
      <c r="A191" s="79" t="s">
        <v>416</v>
      </c>
      <c r="B191" s="49" t="s">
        <v>417</v>
      </c>
      <c r="C191" s="65"/>
      <c r="D191" s="65"/>
      <c r="E191" s="92"/>
      <c r="F191" s="65">
        <v>121504</v>
      </c>
      <c r="G191" s="92"/>
      <c r="H191" s="92"/>
      <c r="I191" s="93"/>
      <c r="J191" s="93"/>
      <c r="K191" s="92"/>
      <c r="L191" s="93"/>
      <c r="M191" s="92"/>
      <c r="N191" s="92"/>
      <c r="O191" s="43">
        <f t="shared" si="28"/>
        <v>121504</v>
      </c>
    </row>
    <row r="192" spans="1:16" s="95" customFormat="1" ht="29.25" customHeight="1">
      <c r="A192" s="79" t="s">
        <v>418</v>
      </c>
      <c r="B192" s="49" t="s">
        <v>553</v>
      </c>
      <c r="C192" s="65">
        <v>47300</v>
      </c>
      <c r="D192" s="65"/>
      <c r="E192" s="65">
        <v>47300</v>
      </c>
      <c r="F192" s="65"/>
      <c r="G192" s="65"/>
      <c r="H192" s="65"/>
      <c r="I192" s="46"/>
      <c r="J192" s="65"/>
      <c r="K192" s="65"/>
      <c r="L192" s="46"/>
      <c r="M192" s="65"/>
      <c r="N192" s="65"/>
      <c r="O192" s="43">
        <f t="shared" si="28"/>
        <v>47300</v>
      </c>
      <c r="P192" s="85"/>
    </row>
    <row r="193" spans="1:16" s="95" customFormat="1" ht="29.25" customHeight="1">
      <c r="A193" s="79" t="s">
        <v>419</v>
      </c>
      <c r="B193" s="49" t="s">
        <v>420</v>
      </c>
      <c r="C193" s="65"/>
      <c r="D193" s="65"/>
      <c r="E193" s="65"/>
      <c r="F193" s="65">
        <v>7525</v>
      </c>
      <c r="G193" s="65"/>
      <c r="H193" s="65">
        <v>7525</v>
      </c>
      <c r="I193" s="46"/>
      <c r="J193" s="65"/>
      <c r="K193" s="65"/>
      <c r="L193" s="46"/>
      <c r="M193" s="65"/>
      <c r="N193" s="65"/>
      <c r="O193" s="43">
        <f t="shared" si="28"/>
        <v>7525</v>
      </c>
      <c r="P193" s="85"/>
    </row>
    <row r="194" spans="1:16" s="95" customFormat="1" ht="29.25" customHeight="1">
      <c r="A194" s="79" t="s">
        <v>421</v>
      </c>
      <c r="B194" s="49" t="s">
        <v>422</v>
      </c>
      <c r="C194" s="65"/>
      <c r="D194" s="65"/>
      <c r="E194" s="65"/>
      <c r="F194" s="65">
        <v>45122</v>
      </c>
      <c r="G194" s="65"/>
      <c r="H194" s="65">
        <v>45122</v>
      </c>
      <c r="I194" s="46"/>
      <c r="J194" s="65"/>
      <c r="K194" s="65"/>
      <c r="L194" s="46"/>
      <c r="M194" s="65"/>
      <c r="N194" s="65"/>
      <c r="O194" s="43">
        <f t="shared" si="28"/>
        <v>45122</v>
      </c>
      <c r="P194" s="85"/>
    </row>
    <row r="195" spans="1:15" s="85" customFormat="1" ht="17.25" customHeight="1">
      <c r="A195" s="79" t="s">
        <v>423</v>
      </c>
      <c r="B195" s="49" t="s">
        <v>424</v>
      </c>
      <c r="C195" s="65"/>
      <c r="D195" s="65"/>
      <c r="E195" s="65"/>
      <c r="F195" s="46"/>
      <c r="G195" s="65"/>
      <c r="H195" s="65"/>
      <c r="I195" s="46">
        <v>120879</v>
      </c>
      <c r="J195" s="65">
        <v>119150</v>
      </c>
      <c r="K195" s="65"/>
      <c r="L195" s="46"/>
      <c r="M195" s="65"/>
      <c r="N195" s="65"/>
      <c r="O195" s="43">
        <f t="shared" si="28"/>
        <v>120879</v>
      </c>
    </row>
    <row r="196" spans="1:15" s="56" customFormat="1" ht="29.25" customHeight="1">
      <c r="A196" s="43" t="s">
        <v>425</v>
      </c>
      <c r="B196" s="45" t="s">
        <v>173</v>
      </c>
      <c r="C196" s="43">
        <f>C197</f>
        <v>191000</v>
      </c>
      <c r="D196" s="43">
        <f aca="true" t="shared" si="39" ref="D196:N196">D197</f>
        <v>0</v>
      </c>
      <c r="E196" s="43">
        <f t="shared" si="39"/>
        <v>35000</v>
      </c>
      <c r="F196" s="43">
        <f t="shared" si="39"/>
        <v>0</v>
      </c>
      <c r="G196" s="43">
        <f t="shared" si="39"/>
        <v>0</v>
      </c>
      <c r="H196" s="43">
        <f t="shared" si="39"/>
        <v>0</v>
      </c>
      <c r="I196" s="43"/>
      <c r="J196" s="43"/>
      <c r="K196" s="43">
        <f t="shared" si="39"/>
        <v>0</v>
      </c>
      <c r="L196" s="43">
        <f t="shared" si="39"/>
        <v>0</v>
      </c>
      <c r="M196" s="43">
        <f t="shared" si="39"/>
        <v>0</v>
      </c>
      <c r="N196" s="43">
        <f t="shared" si="39"/>
        <v>0</v>
      </c>
      <c r="O196" s="43">
        <f t="shared" si="28"/>
        <v>191000</v>
      </c>
    </row>
    <row r="197" spans="1:15" s="85" customFormat="1" ht="15" customHeight="1">
      <c r="A197" s="89" t="s">
        <v>426</v>
      </c>
      <c r="B197" s="49" t="s">
        <v>427</v>
      </c>
      <c r="C197" s="65">
        <f>SUM(C198:C203)</f>
        <v>191000</v>
      </c>
      <c r="D197" s="65"/>
      <c r="E197" s="65">
        <f>E203</f>
        <v>35000</v>
      </c>
      <c r="F197" s="65">
        <f aca="true" t="shared" si="40" ref="F197:N197">SUM(F198:F203)</f>
        <v>0</v>
      </c>
      <c r="G197" s="65">
        <f t="shared" si="40"/>
        <v>0</v>
      </c>
      <c r="H197" s="65">
        <f t="shared" si="40"/>
        <v>0</v>
      </c>
      <c r="I197" s="65">
        <f t="shared" si="40"/>
        <v>0</v>
      </c>
      <c r="J197" s="65">
        <f t="shared" si="40"/>
        <v>0</v>
      </c>
      <c r="K197" s="65">
        <f t="shared" si="40"/>
        <v>0</v>
      </c>
      <c r="L197" s="65">
        <f t="shared" si="40"/>
        <v>0</v>
      </c>
      <c r="M197" s="65">
        <f t="shared" si="40"/>
        <v>0</v>
      </c>
      <c r="N197" s="65">
        <f t="shared" si="40"/>
        <v>0</v>
      </c>
      <c r="O197" s="43">
        <f t="shared" si="28"/>
        <v>191000</v>
      </c>
    </row>
    <row r="198" spans="1:15" s="85" customFormat="1" ht="30" customHeight="1">
      <c r="A198" s="79" t="s">
        <v>555</v>
      </c>
      <c r="B198" s="49" t="s">
        <v>428</v>
      </c>
      <c r="C198" s="65">
        <v>111000</v>
      </c>
      <c r="D198" s="65"/>
      <c r="E198" s="65"/>
      <c r="F198" s="46"/>
      <c r="G198" s="65"/>
      <c r="H198" s="65"/>
      <c r="I198" s="46"/>
      <c r="J198" s="46"/>
      <c r="K198" s="65"/>
      <c r="L198" s="46"/>
      <c r="M198" s="65"/>
      <c r="N198" s="65"/>
      <c r="O198" s="43">
        <f t="shared" si="28"/>
        <v>111000</v>
      </c>
    </row>
    <row r="199" spans="1:15" s="85" customFormat="1" ht="30" customHeight="1">
      <c r="A199" s="79" t="s">
        <v>556</v>
      </c>
      <c r="B199" s="49" t="s">
        <v>429</v>
      </c>
      <c r="C199" s="65">
        <v>15000</v>
      </c>
      <c r="D199" s="65"/>
      <c r="E199" s="65"/>
      <c r="F199" s="46"/>
      <c r="G199" s="65"/>
      <c r="H199" s="65"/>
      <c r="I199" s="46"/>
      <c r="J199" s="46"/>
      <c r="K199" s="65"/>
      <c r="L199" s="46"/>
      <c r="M199" s="65"/>
      <c r="N199" s="65"/>
      <c r="O199" s="43">
        <f t="shared" si="28"/>
        <v>15000</v>
      </c>
    </row>
    <row r="200" spans="1:15" s="85" customFormat="1" ht="28.5" customHeight="1">
      <c r="A200" s="79" t="s">
        <v>557</v>
      </c>
      <c r="B200" s="49" t="s">
        <v>430</v>
      </c>
      <c r="C200" s="65">
        <v>5000</v>
      </c>
      <c r="D200" s="65"/>
      <c r="E200" s="65"/>
      <c r="F200" s="46"/>
      <c r="G200" s="65"/>
      <c r="H200" s="65"/>
      <c r="I200" s="46"/>
      <c r="J200" s="46"/>
      <c r="K200" s="65"/>
      <c r="L200" s="46"/>
      <c r="M200" s="65"/>
      <c r="N200" s="65"/>
      <c r="O200" s="43">
        <f t="shared" si="28"/>
        <v>5000</v>
      </c>
    </row>
    <row r="201" spans="1:15" s="85" customFormat="1" ht="15" customHeight="1">
      <c r="A201" s="79" t="s">
        <v>558</v>
      </c>
      <c r="B201" s="49" t="s">
        <v>431</v>
      </c>
      <c r="C201" s="65">
        <v>5000</v>
      </c>
      <c r="D201" s="65"/>
      <c r="E201" s="65"/>
      <c r="F201" s="46"/>
      <c r="G201" s="65"/>
      <c r="H201" s="65"/>
      <c r="I201" s="46"/>
      <c r="J201" s="46"/>
      <c r="K201" s="65"/>
      <c r="L201" s="46"/>
      <c r="M201" s="65"/>
      <c r="N201" s="65"/>
      <c r="O201" s="43">
        <f>C201+F201+I201+L201</f>
        <v>5000</v>
      </c>
    </row>
    <row r="202" spans="1:15" s="85" customFormat="1" ht="15" customHeight="1">
      <c r="A202" s="79" t="s">
        <v>559</v>
      </c>
      <c r="B202" s="49" t="s">
        <v>432</v>
      </c>
      <c r="C202" s="65">
        <v>20000</v>
      </c>
      <c r="D202" s="65"/>
      <c r="E202" s="65"/>
      <c r="F202" s="46"/>
      <c r="G202" s="65"/>
      <c r="H202" s="65"/>
      <c r="I202" s="46"/>
      <c r="J202" s="46"/>
      <c r="K202" s="65"/>
      <c r="L202" s="46"/>
      <c r="M202" s="65"/>
      <c r="N202" s="65"/>
      <c r="O202" s="43">
        <f>C202+F202+I202+L202</f>
        <v>20000</v>
      </c>
    </row>
    <row r="203" spans="1:15" s="85" customFormat="1" ht="15" customHeight="1">
      <c r="A203" s="79" t="s">
        <v>560</v>
      </c>
      <c r="B203" s="49" t="s">
        <v>433</v>
      </c>
      <c r="C203" s="65">
        <v>35000</v>
      </c>
      <c r="D203" s="65"/>
      <c r="E203" s="65">
        <v>35000</v>
      </c>
      <c r="F203" s="46"/>
      <c r="G203" s="65"/>
      <c r="H203" s="65"/>
      <c r="I203" s="46"/>
      <c r="J203" s="46"/>
      <c r="K203" s="65"/>
      <c r="L203" s="46"/>
      <c r="M203" s="65"/>
      <c r="N203" s="65"/>
      <c r="O203" s="43">
        <f>C203+F203+I203+L203</f>
        <v>35000</v>
      </c>
    </row>
    <row r="204" spans="1:15" s="35" customFormat="1" ht="15" customHeight="1">
      <c r="A204" s="62"/>
      <c r="B204" s="161" t="s">
        <v>434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</row>
    <row r="205" spans="1:15" s="60" customFormat="1" ht="15" customHeight="1">
      <c r="A205" s="50"/>
      <c r="B205" s="45" t="s">
        <v>133</v>
      </c>
      <c r="C205" s="46">
        <f>C206+C244+C243+C242</f>
        <v>3197875</v>
      </c>
      <c r="D205" s="46">
        <f aca="true" t="shared" si="41" ref="D205:O205">D206+D244+D243+D242</f>
        <v>680650</v>
      </c>
      <c r="E205" s="46">
        <f t="shared" si="41"/>
        <v>91400</v>
      </c>
      <c r="F205" s="46">
        <f t="shared" si="41"/>
        <v>1129583</v>
      </c>
      <c r="G205" s="46">
        <f t="shared" si="41"/>
        <v>194000</v>
      </c>
      <c r="H205" s="46">
        <f t="shared" si="41"/>
        <v>45977</v>
      </c>
      <c r="I205" s="46">
        <f t="shared" si="41"/>
        <v>0</v>
      </c>
      <c r="J205" s="46">
        <f t="shared" si="41"/>
        <v>0</v>
      </c>
      <c r="K205" s="46">
        <f t="shared" si="41"/>
        <v>0</v>
      </c>
      <c r="L205" s="46">
        <f>L206+L244+L243+L242</f>
        <v>133060</v>
      </c>
      <c r="M205" s="46">
        <f t="shared" si="41"/>
        <v>47000</v>
      </c>
      <c r="N205" s="46">
        <f t="shared" si="41"/>
        <v>0</v>
      </c>
      <c r="O205" s="46">
        <f t="shared" si="41"/>
        <v>4460518</v>
      </c>
    </row>
    <row r="206" spans="1:15" s="36" customFormat="1" ht="15" customHeight="1">
      <c r="A206" s="43" t="s">
        <v>561</v>
      </c>
      <c r="B206" s="45" t="s">
        <v>135</v>
      </c>
      <c r="C206" s="43">
        <f>SUM(C207:C241)</f>
        <v>2840575</v>
      </c>
      <c r="D206" s="43">
        <f aca="true" t="shared" si="42" ref="D206:N206">SUM(D207:D241)</f>
        <v>517650</v>
      </c>
      <c r="E206" s="43">
        <f t="shared" si="42"/>
        <v>64400</v>
      </c>
      <c r="F206" s="43">
        <f t="shared" si="42"/>
        <v>980583</v>
      </c>
      <c r="G206" s="43">
        <f t="shared" si="42"/>
        <v>194000</v>
      </c>
      <c r="H206" s="43">
        <f t="shared" si="42"/>
        <v>45977</v>
      </c>
      <c r="I206" s="43">
        <f t="shared" si="42"/>
        <v>0</v>
      </c>
      <c r="J206" s="43">
        <f t="shared" si="42"/>
        <v>0</v>
      </c>
      <c r="K206" s="43">
        <f t="shared" si="42"/>
        <v>0</v>
      </c>
      <c r="L206" s="43">
        <f t="shared" si="42"/>
        <v>0</v>
      </c>
      <c r="M206" s="43">
        <f t="shared" si="42"/>
        <v>0</v>
      </c>
      <c r="N206" s="43">
        <f t="shared" si="42"/>
        <v>0</v>
      </c>
      <c r="O206" s="43">
        <f>SUM(O207:O241)</f>
        <v>3821158</v>
      </c>
    </row>
    <row r="207" spans="1:15" s="85" customFormat="1" ht="14.25" customHeight="1">
      <c r="A207" s="96" t="s">
        <v>562</v>
      </c>
      <c r="B207" s="49" t="s">
        <v>436</v>
      </c>
      <c r="C207" s="65">
        <v>1045000</v>
      </c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43">
        <f aca="true" t="shared" si="43" ref="O207:O245">C207+F207+I207+L207</f>
        <v>1045000</v>
      </c>
    </row>
    <row r="208" spans="1:15" s="85" customFormat="1" ht="15.75" customHeight="1">
      <c r="A208" s="96" t="s">
        <v>563</v>
      </c>
      <c r="B208" s="49" t="s">
        <v>437</v>
      </c>
      <c r="C208" s="65">
        <v>25000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43">
        <f>C208+F208+I208+L208</f>
        <v>25000</v>
      </c>
    </row>
    <row r="209" spans="1:15" s="85" customFormat="1" ht="27.75" customHeight="1">
      <c r="A209" s="96" t="s">
        <v>564</v>
      </c>
      <c r="B209" s="49" t="s">
        <v>438</v>
      </c>
      <c r="C209" s="65">
        <f>260000+10000</f>
        <v>270000</v>
      </c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43">
        <f>C209+F209+I209+L209</f>
        <v>270000</v>
      </c>
    </row>
    <row r="210" spans="1:15" s="85" customFormat="1" ht="14.25" customHeight="1">
      <c r="A210" s="96" t="s">
        <v>565</v>
      </c>
      <c r="B210" s="49" t="s">
        <v>439</v>
      </c>
      <c r="C210" s="65"/>
      <c r="D210" s="65"/>
      <c r="E210" s="65"/>
      <c r="F210" s="65">
        <v>157000</v>
      </c>
      <c r="G210" s="65"/>
      <c r="H210" s="65"/>
      <c r="I210" s="65"/>
      <c r="J210" s="65"/>
      <c r="K210" s="65"/>
      <c r="L210" s="65"/>
      <c r="M210" s="65"/>
      <c r="N210" s="65"/>
      <c r="O210" s="43">
        <f t="shared" si="43"/>
        <v>157000</v>
      </c>
    </row>
    <row r="211" spans="1:15" s="85" customFormat="1" ht="27.75" customHeight="1">
      <c r="A211" s="96" t="s">
        <v>566</v>
      </c>
      <c r="B211" s="49" t="s">
        <v>440</v>
      </c>
      <c r="C211" s="65"/>
      <c r="D211" s="65"/>
      <c r="E211" s="65"/>
      <c r="F211" s="65">
        <v>200</v>
      </c>
      <c r="G211" s="65"/>
      <c r="H211" s="65"/>
      <c r="I211" s="65"/>
      <c r="J211" s="65"/>
      <c r="K211" s="65"/>
      <c r="L211" s="65"/>
      <c r="M211" s="65"/>
      <c r="N211" s="65"/>
      <c r="O211" s="43">
        <f t="shared" si="43"/>
        <v>200</v>
      </c>
    </row>
    <row r="212" spans="1:15" s="85" customFormat="1" ht="15" customHeight="1">
      <c r="A212" s="96" t="s">
        <v>567</v>
      </c>
      <c r="B212" s="49" t="s">
        <v>441</v>
      </c>
      <c r="C212" s="65"/>
      <c r="D212" s="65"/>
      <c r="E212" s="65"/>
      <c r="F212" s="65">
        <v>63000</v>
      </c>
      <c r="G212" s="65"/>
      <c r="H212" s="65"/>
      <c r="I212" s="65"/>
      <c r="J212" s="65"/>
      <c r="K212" s="65"/>
      <c r="L212" s="65"/>
      <c r="M212" s="65"/>
      <c r="N212" s="65"/>
      <c r="O212" s="43">
        <f t="shared" si="43"/>
        <v>63000</v>
      </c>
    </row>
    <row r="213" spans="1:15" s="85" customFormat="1" ht="15" customHeight="1">
      <c r="A213" s="96" t="s">
        <v>568</v>
      </c>
      <c r="B213" s="49" t="s">
        <v>442</v>
      </c>
      <c r="C213" s="65"/>
      <c r="D213" s="65"/>
      <c r="E213" s="65"/>
      <c r="F213" s="65">
        <v>316000</v>
      </c>
      <c r="G213" s="65"/>
      <c r="H213" s="65"/>
      <c r="I213" s="65"/>
      <c r="J213" s="65"/>
      <c r="K213" s="65"/>
      <c r="L213" s="65"/>
      <c r="M213" s="65"/>
      <c r="N213" s="65"/>
      <c r="O213" s="43">
        <f t="shared" si="43"/>
        <v>316000</v>
      </c>
    </row>
    <row r="214" spans="1:15" s="85" customFormat="1" ht="15" customHeight="1">
      <c r="A214" s="96" t="s">
        <v>569</v>
      </c>
      <c r="B214" s="49" t="s">
        <v>443</v>
      </c>
      <c r="C214" s="65">
        <v>120000</v>
      </c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43">
        <f t="shared" si="43"/>
        <v>120000</v>
      </c>
    </row>
    <row r="215" spans="1:15" s="85" customFormat="1" ht="29.25" customHeight="1">
      <c r="A215" s="96" t="s">
        <v>570</v>
      </c>
      <c r="B215" s="49" t="s">
        <v>444</v>
      </c>
      <c r="C215" s="65"/>
      <c r="D215" s="65"/>
      <c r="E215" s="65"/>
      <c r="F215" s="65">
        <v>173000</v>
      </c>
      <c r="G215" s="65"/>
      <c r="H215" s="65"/>
      <c r="I215" s="65"/>
      <c r="J215" s="65"/>
      <c r="K215" s="65"/>
      <c r="L215" s="65"/>
      <c r="M215" s="65"/>
      <c r="N215" s="65"/>
      <c r="O215" s="43">
        <f t="shared" si="43"/>
        <v>173000</v>
      </c>
    </row>
    <row r="216" spans="1:15" s="84" customFormat="1" ht="29.25" customHeight="1">
      <c r="A216" s="97" t="s">
        <v>571</v>
      </c>
      <c r="B216" s="98" t="s">
        <v>445</v>
      </c>
      <c r="C216" s="50"/>
      <c r="D216" s="50"/>
      <c r="E216" s="50"/>
      <c r="F216" s="50">
        <v>196800</v>
      </c>
      <c r="G216" s="50">
        <v>194000</v>
      </c>
      <c r="H216" s="50"/>
      <c r="I216" s="50"/>
      <c r="J216" s="50"/>
      <c r="K216" s="50"/>
      <c r="L216" s="50"/>
      <c r="M216" s="50"/>
      <c r="N216" s="50"/>
      <c r="O216" s="43">
        <f t="shared" si="43"/>
        <v>196800</v>
      </c>
    </row>
    <row r="217" spans="1:15" s="84" customFormat="1" ht="29.25" customHeight="1">
      <c r="A217" s="97" t="s">
        <v>572</v>
      </c>
      <c r="B217" s="98" t="s">
        <v>446</v>
      </c>
      <c r="C217" s="50"/>
      <c r="D217" s="50"/>
      <c r="E217" s="50"/>
      <c r="F217" s="50">
        <v>11000</v>
      </c>
      <c r="G217" s="50"/>
      <c r="H217" s="50"/>
      <c r="I217" s="50"/>
      <c r="J217" s="50"/>
      <c r="K217" s="50"/>
      <c r="L217" s="50"/>
      <c r="M217" s="50"/>
      <c r="N217" s="50"/>
      <c r="O217" s="43">
        <f t="shared" si="43"/>
        <v>11000</v>
      </c>
    </row>
    <row r="218" spans="1:15" s="85" customFormat="1" ht="28.5" customHeight="1">
      <c r="A218" s="97" t="s">
        <v>573</v>
      </c>
      <c r="B218" s="49" t="s">
        <v>447</v>
      </c>
      <c r="C218" s="65">
        <v>478000</v>
      </c>
      <c r="D218" s="65"/>
      <c r="E218" s="65"/>
      <c r="F218" s="65"/>
      <c r="G218" s="65"/>
      <c r="H218" s="65"/>
      <c r="I218" s="46"/>
      <c r="J218" s="46"/>
      <c r="K218" s="65"/>
      <c r="L218" s="46"/>
      <c r="M218" s="65"/>
      <c r="N218" s="65"/>
      <c r="O218" s="43">
        <f t="shared" si="43"/>
        <v>478000</v>
      </c>
    </row>
    <row r="219" spans="1:15" s="85" customFormat="1" ht="44.25" customHeight="1">
      <c r="A219" s="97" t="s">
        <v>574</v>
      </c>
      <c r="B219" s="49" t="s">
        <v>448</v>
      </c>
      <c r="C219" s="65">
        <v>4100</v>
      </c>
      <c r="D219" s="65"/>
      <c r="E219" s="65"/>
      <c r="F219" s="65"/>
      <c r="G219" s="65"/>
      <c r="H219" s="65"/>
      <c r="I219" s="65"/>
      <c r="J219" s="65"/>
      <c r="K219" s="65"/>
      <c r="L219" s="46"/>
      <c r="M219" s="65"/>
      <c r="N219" s="65"/>
      <c r="O219" s="43">
        <f t="shared" si="43"/>
        <v>4100</v>
      </c>
    </row>
    <row r="220" spans="1:16" s="42" customFormat="1" ht="28.5" customHeight="1">
      <c r="A220" s="97" t="s">
        <v>575</v>
      </c>
      <c r="B220" s="49" t="s">
        <v>449</v>
      </c>
      <c r="C220" s="50">
        <v>3675</v>
      </c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43">
        <f t="shared" si="43"/>
        <v>3675</v>
      </c>
      <c r="P220" s="60"/>
    </row>
    <row r="221" spans="1:16" s="42" customFormat="1" ht="28.5" customHeight="1">
      <c r="A221" s="97" t="s">
        <v>576</v>
      </c>
      <c r="B221" s="49" t="s">
        <v>450</v>
      </c>
      <c r="C221" s="50">
        <v>3000</v>
      </c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43">
        <f t="shared" si="43"/>
        <v>3000</v>
      </c>
      <c r="P221" s="60"/>
    </row>
    <row r="222" spans="1:16" s="42" customFormat="1" ht="15" customHeight="1">
      <c r="A222" s="97" t="s">
        <v>577</v>
      </c>
      <c r="B222" s="49" t="s">
        <v>451</v>
      </c>
      <c r="C222" s="50">
        <v>75000</v>
      </c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43">
        <f t="shared" si="43"/>
        <v>75000</v>
      </c>
      <c r="P222" s="60"/>
    </row>
    <row r="223" spans="1:16" s="42" customFormat="1" ht="43.5" customHeight="1">
      <c r="A223" s="97" t="s">
        <v>578</v>
      </c>
      <c r="B223" s="49" t="s">
        <v>452</v>
      </c>
      <c r="C223" s="50">
        <v>13000</v>
      </c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43">
        <f t="shared" si="43"/>
        <v>13000</v>
      </c>
      <c r="P223" s="60"/>
    </row>
    <row r="224" spans="1:15" s="85" customFormat="1" ht="14.25" customHeight="1">
      <c r="A224" s="97" t="s">
        <v>579</v>
      </c>
      <c r="B224" s="49" t="s">
        <v>453</v>
      </c>
      <c r="C224" s="65">
        <v>1000</v>
      </c>
      <c r="D224" s="65"/>
      <c r="E224" s="65"/>
      <c r="F224" s="46"/>
      <c r="G224" s="65"/>
      <c r="H224" s="65"/>
      <c r="I224" s="46"/>
      <c r="J224" s="46"/>
      <c r="K224" s="65"/>
      <c r="L224" s="46"/>
      <c r="M224" s="65"/>
      <c r="N224" s="65"/>
      <c r="O224" s="43">
        <f t="shared" si="43"/>
        <v>1000</v>
      </c>
    </row>
    <row r="225" spans="1:15" s="85" customFormat="1" ht="15.75" customHeight="1">
      <c r="A225" s="97" t="s">
        <v>580</v>
      </c>
      <c r="B225" s="49" t="s">
        <v>454</v>
      </c>
      <c r="C225" s="65">
        <v>19000</v>
      </c>
      <c r="D225" s="65"/>
      <c r="E225" s="65"/>
      <c r="F225" s="46"/>
      <c r="G225" s="65"/>
      <c r="H225" s="65"/>
      <c r="I225" s="46"/>
      <c r="J225" s="46"/>
      <c r="K225" s="65"/>
      <c r="L225" s="46"/>
      <c r="M225" s="65"/>
      <c r="N225" s="65"/>
      <c r="O225" s="43">
        <f t="shared" si="43"/>
        <v>19000</v>
      </c>
    </row>
    <row r="226" spans="1:15" s="85" customFormat="1" ht="29.25" customHeight="1">
      <c r="A226" s="97" t="s">
        <v>581</v>
      </c>
      <c r="B226" s="49" t="s">
        <v>455</v>
      </c>
      <c r="C226" s="65">
        <v>9000</v>
      </c>
      <c r="D226" s="65"/>
      <c r="E226" s="65"/>
      <c r="F226" s="46"/>
      <c r="G226" s="65"/>
      <c r="H226" s="65"/>
      <c r="I226" s="46"/>
      <c r="J226" s="46"/>
      <c r="K226" s="65"/>
      <c r="L226" s="46"/>
      <c r="M226" s="65"/>
      <c r="N226" s="65"/>
      <c r="O226" s="43">
        <f t="shared" si="43"/>
        <v>9000</v>
      </c>
    </row>
    <row r="227" spans="1:15" s="42" customFormat="1" ht="29.25" customHeight="1">
      <c r="A227" s="97" t="s">
        <v>582</v>
      </c>
      <c r="B227" s="58" t="s">
        <v>456</v>
      </c>
      <c r="C227" s="50">
        <v>82000</v>
      </c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3">
        <f t="shared" si="43"/>
        <v>82000</v>
      </c>
    </row>
    <row r="228" spans="1:15" s="85" customFormat="1" ht="16.5" customHeight="1">
      <c r="A228" s="97" t="s">
        <v>583</v>
      </c>
      <c r="B228" s="49" t="s">
        <v>457</v>
      </c>
      <c r="C228" s="99">
        <v>10000</v>
      </c>
      <c r="D228" s="65"/>
      <c r="E228" s="65"/>
      <c r="F228" s="46"/>
      <c r="G228" s="65"/>
      <c r="H228" s="65"/>
      <c r="I228" s="46"/>
      <c r="J228" s="46"/>
      <c r="K228" s="65"/>
      <c r="L228" s="46"/>
      <c r="M228" s="65"/>
      <c r="N228" s="65"/>
      <c r="O228" s="43">
        <f t="shared" si="43"/>
        <v>10000</v>
      </c>
    </row>
    <row r="229" spans="1:15" s="85" customFormat="1" ht="30.75" customHeight="1">
      <c r="A229" s="97" t="s">
        <v>584</v>
      </c>
      <c r="B229" s="49" t="s">
        <v>458</v>
      </c>
      <c r="C229" s="65">
        <v>64400</v>
      </c>
      <c r="D229" s="65"/>
      <c r="E229" s="65">
        <v>64400</v>
      </c>
      <c r="F229" s="46"/>
      <c r="G229" s="65"/>
      <c r="H229" s="65"/>
      <c r="I229" s="46"/>
      <c r="J229" s="46"/>
      <c r="K229" s="65"/>
      <c r="L229" s="46"/>
      <c r="M229" s="65"/>
      <c r="N229" s="65"/>
      <c r="O229" s="43">
        <f t="shared" si="43"/>
        <v>64400</v>
      </c>
    </row>
    <row r="230" spans="1:15" s="85" customFormat="1" ht="18" customHeight="1">
      <c r="A230" s="97" t="s">
        <v>585</v>
      </c>
      <c r="B230" s="49" t="s">
        <v>459</v>
      </c>
      <c r="C230" s="65">
        <v>48000</v>
      </c>
      <c r="D230" s="65"/>
      <c r="E230" s="65"/>
      <c r="F230" s="46"/>
      <c r="G230" s="65"/>
      <c r="H230" s="65"/>
      <c r="I230" s="46"/>
      <c r="J230" s="46"/>
      <c r="K230" s="65"/>
      <c r="L230" s="46"/>
      <c r="M230" s="65"/>
      <c r="N230" s="65"/>
      <c r="O230" s="43">
        <f t="shared" si="43"/>
        <v>48000</v>
      </c>
    </row>
    <row r="231" spans="1:15" s="85" customFormat="1" ht="28.5" customHeight="1">
      <c r="A231" s="97" t="s">
        <v>586</v>
      </c>
      <c r="B231" s="49" t="s">
        <v>460</v>
      </c>
      <c r="C231" s="65">
        <v>83700</v>
      </c>
      <c r="D231" s="65">
        <v>82500</v>
      </c>
      <c r="E231" s="65"/>
      <c r="F231" s="46"/>
      <c r="G231" s="65"/>
      <c r="H231" s="65"/>
      <c r="I231" s="46"/>
      <c r="J231" s="46"/>
      <c r="K231" s="65"/>
      <c r="L231" s="46"/>
      <c r="M231" s="65"/>
      <c r="N231" s="65"/>
      <c r="O231" s="43">
        <f t="shared" si="43"/>
        <v>83700</v>
      </c>
    </row>
    <row r="232" spans="1:15" s="85" customFormat="1" ht="30" customHeight="1">
      <c r="A232" s="97" t="s">
        <v>587</v>
      </c>
      <c r="B232" s="55" t="s">
        <v>461</v>
      </c>
      <c r="C232" s="65">
        <v>76900</v>
      </c>
      <c r="D232" s="65">
        <v>75800</v>
      </c>
      <c r="E232" s="65"/>
      <c r="F232" s="46"/>
      <c r="G232" s="65"/>
      <c r="H232" s="65"/>
      <c r="I232" s="46"/>
      <c r="J232" s="46"/>
      <c r="K232" s="65"/>
      <c r="L232" s="46"/>
      <c r="M232" s="65"/>
      <c r="N232" s="65"/>
      <c r="O232" s="43">
        <f t="shared" si="43"/>
        <v>76900</v>
      </c>
    </row>
    <row r="233" spans="1:15" s="85" customFormat="1" ht="29.25" customHeight="1">
      <c r="A233" s="97" t="s">
        <v>588</v>
      </c>
      <c r="B233" s="49" t="s">
        <v>462</v>
      </c>
      <c r="C233" s="65">
        <v>144000</v>
      </c>
      <c r="D233" s="65">
        <v>142000</v>
      </c>
      <c r="E233" s="65"/>
      <c r="F233" s="46"/>
      <c r="G233" s="65"/>
      <c r="H233" s="65"/>
      <c r="I233" s="46"/>
      <c r="J233" s="46"/>
      <c r="K233" s="65"/>
      <c r="L233" s="46"/>
      <c r="M233" s="65"/>
      <c r="N233" s="65"/>
      <c r="O233" s="43">
        <f t="shared" si="43"/>
        <v>144000</v>
      </c>
    </row>
    <row r="234" spans="1:15" s="85" customFormat="1" ht="43.5" customHeight="1">
      <c r="A234" s="97" t="s">
        <v>589</v>
      </c>
      <c r="B234" s="49" t="s">
        <v>463</v>
      </c>
      <c r="C234" s="65">
        <v>44400</v>
      </c>
      <c r="D234" s="65">
        <v>40600</v>
      </c>
      <c r="E234" s="65"/>
      <c r="F234" s="46"/>
      <c r="G234" s="65"/>
      <c r="H234" s="65"/>
      <c r="I234" s="46"/>
      <c r="J234" s="46"/>
      <c r="K234" s="65"/>
      <c r="L234" s="46"/>
      <c r="M234" s="65"/>
      <c r="N234" s="65"/>
      <c r="O234" s="43">
        <f t="shared" si="43"/>
        <v>44400</v>
      </c>
    </row>
    <row r="235" spans="1:15" s="85" customFormat="1" ht="44.25" customHeight="1">
      <c r="A235" s="97" t="s">
        <v>590</v>
      </c>
      <c r="B235" s="49" t="s">
        <v>464</v>
      </c>
      <c r="C235" s="65">
        <v>156200</v>
      </c>
      <c r="D235" s="65">
        <v>146400</v>
      </c>
      <c r="E235" s="65"/>
      <c r="F235" s="46"/>
      <c r="G235" s="65"/>
      <c r="H235" s="65"/>
      <c r="I235" s="46"/>
      <c r="J235" s="46"/>
      <c r="K235" s="65"/>
      <c r="L235" s="46"/>
      <c r="M235" s="65"/>
      <c r="N235" s="65"/>
      <c r="O235" s="43">
        <f t="shared" si="43"/>
        <v>156200</v>
      </c>
    </row>
    <row r="236" spans="1:15" s="85" customFormat="1" ht="45.75" customHeight="1">
      <c r="A236" s="97" t="s">
        <v>591</v>
      </c>
      <c r="B236" s="49" t="s">
        <v>465</v>
      </c>
      <c r="C236" s="65">
        <v>33200</v>
      </c>
      <c r="D236" s="65">
        <v>30350</v>
      </c>
      <c r="E236" s="65"/>
      <c r="F236" s="46"/>
      <c r="G236" s="65"/>
      <c r="H236" s="65"/>
      <c r="I236" s="46"/>
      <c r="J236" s="46"/>
      <c r="K236" s="65"/>
      <c r="L236" s="46"/>
      <c r="M236" s="65"/>
      <c r="N236" s="65"/>
      <c r="O236" s="43">
        <f t="shared" si="43"/>
        <v>33200</v>
      </c>
    </row>
    <row r="237" spans="1:15" s="85" customFormat="1" ht="31.5" customHeight="1">
      <c r="A237" s="97" t="s">
        <v>592</v>
      </c>
      <c r="B237" s="49" t="s">
        <v>466</v>
      </c>
      <c r="C237" s="65">
        <v>7000</v>
      </c>
      <c r="D237" s="65"/>
      <c r="E237" s="65"/>
      <c r="F237" s="46"/>
      <c r="G237" s="65"/>
      <c r="H237" s="65"/>
      <c r="I237" s="46"/>
      <c r="J237" s="46"/>
      <c r="K237" s="65"/>
      <c r="L237" s="46"/>
      <c r="M237" s="65"/>
      <c r="N237" s="65"/>
      <c r="O237" s="43">
        <f t="shared" si="43"/>
        <v>7000</v>
      </c>
    </row>
    <row r="238" spans="1:15" s="85" customFormat="1" ht="44.25" customHeight="1">
      <c r="A238" s="97" t="s">
        <v>593</v>
      </c>
      <c r="B238" s="49" t="s">
        <v>467</v>
      </c>
      <c r="C238" s="65">
        <v>25000</v>
      </c>
      <c r="D238" s="65"/>
      <c r="E238" s="65"/>
      <c r="F238" s="46"/>
      <c r="G238" s="65"/>
      <c r="H238" s="65"/>
      <c r="I238" s="46"/>
      <c r="J238" s="46"/>
      <c r="K238" s="65"/>
      <c r="L238" s="46"/>
      <c r="M238" s="65"/>
      <c r="N238" s="65"/>
      <c r="O238" s="43">
        <f t="shared" si="43"/>
        <v>25000</v>
      </c>
    </row>
    <row r="239" spans="1:15" s="85" customFormat="1" ht="43.5" customHeight="1">
      <c r="A239" s="97" t="s">
        <v>594</v>
      </c>
      <c r="B239" s="49" t="s">
        <v>468</v>
      </c>
      <c r="C239" s="65"/>
      <c r="D239" s="65"/>
      <c r="E239" s="65"/>
      <c r="F239" s="65">
        <v>20158</v>
      </c>
      <c r="G239" s="65"/>
      <c r="H239" s="65">
        <v>20158</v>
      </c>
      <c r="I239" s="46"/>
      <c r="J239" s="46"/>
      <c r="K239" s="65"/>
      <c r="L239" s="46"/>
      <c r="M239" s="65"/>
      <c r="N239" s="65"/>
      <c r="O239" s="43">
        <f>C239+F239+I239+L239</f>
        <v>20158</v>
      </c>
    </row>
    <row r="240" spans="1:15" s="85" customFormat="1" ht="29.25" customHeight="1">
      <c r="A240" s="97" t="s">
        <v>595</v>
      </c>
      <c r="B240" s="49" t="s">
        <v>554</v>
      </c>
      <c r="C240" s="65"/>
      <c r="D240" s="65"/>
      <c r="E240" s="65"/>
      <c r="F240" s="65">
        <v>17606</v>
      </c>
      <c r="G240" s="65"/>
      <c r="H240" s="65"/>
      <c r="I240" s="46"/>
      <c r="J240" s="46"/>
      <c r="K240" s="65"/>
      <c r="L240" s="46"/>
      <c r="M240" s="65"/>
      <c r="N240" s="65"/>
      <c r="O240" s="43">
        <f>C240+F240+I240+L240</f>
        <v>17606</v>
      </c>
    </row>
    <row r="241" spans="1:15" s="85" customFormat="1" ht="29.25" customHeight="1">
      <c r="A241" s="97" t="s">
        <v>596</v>
      </c>
      <c r="B241" s="49" t="s">
        <v>469</v>
      </c>
      <c r="C241" s="65"/>
      <c r="D241" s="65"/>
      <c r="E241" s="65"/>
      <c r="F241" s="65">
        <f>23808+2011</f>
        <v>25819</v>
      </c>
      <c r="G241" s="65"/>
      <c r="H241" s="65">
        <f>23808+2011</f>
        <v>25819</v>
      </c>
      <c r="I241" s="46"/>
      <c r="J241" s="46"/>
      <c r="K241" s="65"/>
      <c r="L241" s="46"/>
      <c r="M241" s="65"/>
      <c r="N241" s="65"/>
      <c r="O241" s="43">
        <f t="shared" si="43"/>
        <v>25819</v>
      </c>
    </row>
    <row r="242" spans="1:15" s="42" customFormat="1" ht="16.5" customHeight="1">
      <c r="A242" s="43" t="s">
        <v>597</v>
      </c>
      <c r="B242" s="45" t="s">
        <v>471</v>
      </c>
      <c r="C242" s="43">
        <f>160300+5000</f>
        <v>165300</v>
      </c>
      <c r="D242" s="43">
        <f>158000+5000</f>
        <v>163000</v>
      </c>
      <c r="E242" s="43"/>
      <c r="F242" s="43"/>
      <c r="G242" s="43"/>
      <c r="H242" s="43"/>
      <c r="I242" s="43"/>
      <c r="J242" s="43"/>
      <c r="K242" s="43"/>
      <c r="L242" s="43">
        <f>60+132000</f>
        <v>132060</v>
      </c>
      <c r="M242" s="43">
        <v>47000</v>
      </c>
      <c r="N242" s="43"/>
      <c r="O242" s="43">
        <f t="shared" si="43"/>
        <v>297360</v>
      </c>
    </row>
    <row r="243" spans="1:15" s="42" customFormat="1" ht="16.5" customHeight="1">
      <c r="A243" s="43" t="s">
        <v>435</v>
      </c>
      <c r="B243" s="45" t="s">
        <v>473</v>
      </c>
      <c r="C243" s="43">
        <v>177000</v>
      </c>
      <c r="D243" s="43"/>
      <c r="E243" s="43">
        <v>27000</v>
      </c>
      <c r="F243" s="43"/>
      <c r="G243" s="43"/>
      <c r="H243" s="43"/>
      <c r="I243" s="43"/>
      <c r="J243" s="43"/>
      <c r="K243" s="43"/>
      <c r="L243" s="43">
        <v>1000</v>
      </c>
      <c r="M243" s="43"/>
      <c r="N243" s="43"/>
      <c r="O243" s="43">
        <f t="shared" si="43"/>
        <v>178000</v>
      </c>
    </row>
    <row r="244" spans="1:15" s="85" customFormat="1" ht="31.5" customHeight="1">
      <c r="A244" s="43" t="s">
        <v>470</v>
      </c>
      <c r="B244" s="45" t="s">
        <v>173</v>
      </c>
      <c r="C244" s="46">
        <f>SUM(C245)</f>
        <v>15000</v>
      </c>
      <c r="D244" s="65"/>
      <c r="E244" s="65"/>
      <c r="F244" s="46">
        <f>SUM(F245)</f>
        <v>149000</v>
      </c>
      <c r="G244" s="65"/>
      <c r="H244" s="65"/>
      <c r="I244" s="46"/>
      <c r="J244" s="46"/>
      <c r="K244" s="65"/>
      <c r="L244" s="46"/>
      <c r="M244" s="65"/>
      <c r="N244" s="65"/>
      <c r="O244" s="43">
        <f t="shared" si="43"/>
        <v>164000</v>
      </c>
    </row>
    <row r="245" spans="1:15" s="77" customFormat="1" ht="16.5" customHeight="1">
      <c r="A245" s="57" t="s">
        <v>598</v>
      </c>
      <c r="B245" s="58" t="s">
        <v>474</v>
      </c>
      <c r="C245" s="65">
        <v>15000</v>
      </c>
      <c r="D245" s="58"/>
      <c r="E245" s="65"/>
      <c r="F245" s="65">
        <v>149000</v>
      </c>
      <c r="G245" s="65"/>
      <c r="H245" s="65"/>
      <c r="I245" s="58"/>
      <c r="J245" s="58"/>
      <c r="K245" s="58"/>
      <c r="L245" s="58"/>
      <c r="M245" s="58"/>
      <c r="N245" s="58"/>
      <c r="O245" s="43">
        <f t="shared" si="43"/>
        <v>164000</v>
      </c>
    </row>
    <row r="246" spans="1:15" s="60" customFormat="1" ht="18" customHeight="1">
      <c r="A246" s="100"/>
      <c r="B246" s="101" t="s">
        <v>475</v>
      </c>
      <c r="C246" s="102">
        <f aca="true" t="shared" si="44" ref="C246:O246">C14+C47+C53+C63+C98+C121+C151+C205</f>
        <v>15868600</v>
      </c>
      <c r="D246" s="102">
        <f t="shared" si="44"/>
        <v>8678375</v>
      </c>
      <c r="E246" s="102">
        <f t="shared" si="44"/>
        <v>466725</v>
      </c>
      <c r="F246" s="102">
        <f t="shared" si="44"/>
        <v>4138287</v>
      </c>
      <c r="G246" s="102">
        <f t="shared" si="44"/>
        <v>1070543</v>
      </c>
      <c r="H246" s="102">
        <f t="shared" si="44"/>
        <v>1564920</v>
      </c>
      <c r="I246" s="102">
        <f t="shared" si="44"/>
        <v>6077900</v>
      </c>
      <c r="J246" s="102">
        <f t="shared" si="44"/>
        <v>5843430</v>
      </c>
      <c r="K246" s="102">
        <f t="shared" si="44"/>
        <v>12009</v>
      </c>
      <c r="L246" s="102">
        <f t="shared" si="44"/>
        <v>1488997</v>
      </c>
      <c r="M246" s="102">
        <f t="shared" si="44"/>
        <v>70000</v>
      </c>
      <c r="N246" s="102">
        <f t="shared" si="44"/>
        <v>6900</v>
      </c>
      <c r="O246" s="102">
        <f t="shared" si="44"/>
        <v>27573784</v>
      </c>
    </row>
    <row r="247" spans="1:15" s="85" customFormat="1" ht="31.5" customHeight="1">
      <c r="A247" s="43" t="s">
        <v>472</v>
      </c>
      <c r="B247" s="45" t="s">
        <v>173</v>
      </c>
      <c r="C247" s="46">
        <f>SUM(C248)</f>
        <v>746200</v>
      </c>
      <c r="D247" s="65"/>
      <c r="E247" s="65"/>
      <c r="F247" s="46">
        <f>SUM(F248)</f>
        <v>0</v>
      </c>
      <c r="G247" s="65"/>
      <c r="H247" s="65"/>
      <c r="I247" s="46"/>
      <c r="J247" s="46"/>
      <c r="K247" s="65"/>
      <c r="L247" s="46"/>
      <c r="M247" s="65"/>
      <c r="N247" s="65"/>
      <c r="O247" s="43">
        <f>C247+F247+I247+L247</f>
        <v>746200</v>
      </c>
    </row>
    <row r="248" spans="1:15" s="60" customFormat="1" ht="18" customHeight="1">
      <c r="A248" s="103" t="s">
        <v>599</v>
      </c>
      <c r="B248" s="58" t="s">
        <v>98</v>
      </c>
      <c r="C248" s="50">
        <f>708268+37932</f>
        <v>746200</v>
      </c>
      <c r="D248" s="61"/>
      <c r="E248" s="50"/>
      <c r="F248" s="61"/>
      <c r="G248" s="61"/>
      <c r="H248" s="61"/>
      <c r="I248" s="61"/>
      <c r="J248" s="61"/>
      <c r="K248" s="61"/>
      <c r="L248" s="61"/>
      <c r="M248" s="61"/>
      <c r="N248" s="61"/>
      <c r="O248" s="43">
        <f>C248+F248+I248+L248</f>
        <v>746200</v>
      </c>
    </row>
    <row r="249" spans="1:12" s="64" customFormat="1" ht="15" customHeight="1">
      <c r="A249" s="104"/>
      <c r="B249" s="105"/>
      <c r="C249" s="106"/>
      <c r="F249" s="106"/>
      <c r="I249" s="106"/>
      <c r="J249" s="106"/>
      <c r="L249" s="106"/>
    </row>
    <row r="250" spans="1:12" s="64" customFormat="1" ht="15" customHeight="1">
      <c r="A250" s="104"/>
      <c r="B250" s="105"/>
      <c r="C250" s="106"/>
      <c r="F250" s="106"/>
      <c r="I250" s="106"/>
      <c r="J250" s="106"/>
      <c r="L250" s="106"/>
    </row>
    <row r="251" spans="1:12" s="64" customFormat="1" ht="15" customHeight="1">
      <c r="A251" s="104"/>
      <c r="B251" s="105"/>
      <c r="C251" s="106"/>
      <c r="F251" s="110"/>
      <c r="G251" s="111"/>
      <c r="H251" s="111"/>
      <c r="I251" s="110"/>
      <c r="J251" s="110"/>
      <c r="L251" s="106"/>
    </row>
    <row r="252" spans="1:12" s="64" customFormat="1" ht="15" customHeight="1">
      <c r="A252" s="104"/>
      <c r="B252" s="105"/>
      <c r="C252" s="106"/>
      <c r="F252" s="106"/>
      <c r="I252" s="106"/>
      <c r="J252" s="106"/>
      <c r="L252" s="106"/>
    </row>
    <row r="253" spans="1:12" s="64" customFormat="1" ht="15" customHeight="1">
      <c r="A253" s="104"/>
      <c r="B253" s="105"/>
      <c r="C253" s="106"/>
      <c r="F253" s="106"/>
      <c r="I253" s="106"/>
      <c r="J253" s="106"/>
      <c r="L253" s="106"/>
    </row>
    <row r="254" spans="1:12" s="64" customFormat="1" ht="15" customHeight="1">
      <c r="A254" s="104"/>
      <c r="B254" s="105"/>
      <c r="C254" s="106"/>
      <c r="F254" s="106"/>
      <c r="I254" s="106"/>
      <c r="J254" s="106"/>
      <c r="L254" s="106"/>
    </row>
    <row r="255" spans="1:12" s="64" customFormat="1" ht="15" customHeight="1">
      <c r="A255" s="104"/>
      <c r="B255" s="105"/>
      <c r="C255" s="106"/>
      <c r="F255" s="106"/>
      <c r="I255" s="106"/>
      <c r="J255" s="106"/>
      <c r="L255" s="106"/>
    </row>
    <row r="256" spans="1:12" s="64" customFormat="1" ht="15" customHeight="1">
      <c r="A256" s="104"/>
      <c r="B256" s="105"/>
      <c r="C256" s="106"/>
      <c r="F256" s="106"/>
      <c r="I256" s="106"/>
      <c r="J256" s="106"/>
      <c r="L256" s="106"/>
    </row>
    <row r="257" spans="1:12" s="64" customFormat="1" ht="15" customHeight="1">
      <c r="A257" s="104"/>
      <c r="B257" s="105"/>
      <c r="C257" s="106"/>
      <c r="F257" s="106"/>
      <c r="I257" s="106"/>
      <c r="J257" s="106"/>
      <c r="L257" s="106"/>
    </row>
    <row r="258" spans="1:12" s="64" customFormat="1" ht="15" customHeight="1">
      <c r="A258" s="104"/>
      <c r="B258" s="105"/>
      <c r="C258" s="106"/>
      <c r="F258" s="106"/>
      <c r="I258" s="106"/>
      <c r="J258" s="106"/>
      <c r="L258" s="106"/>
    </row>
    <row r="259" spans="1:12" s="64" customFormat="1" ht="15" customHeight="1">
      <c r="A259" s="104"/>
      <c r="B259" s="105"/>
      <c r="C259" s="106"/>
      <c r="F259" s="106"/>
      <c r="I259" s="106"/>
      <c r="J259" s="106"/>
      <c r="L259" s="106"/>
    </row>
    <row r="260" spans="1:12" s="64" customFormat="1" ht="15" customHeight="1">
      <c r="A260" s="104"/>
      <c r="B260" s="105"/>
      <c r="C260" s="106"/>
      <c r="F260" s="106"/>
      <c r="I260" s="106"/>
      <c r="J260" s="106"/>
      <c r="L260" s="106"/>
    </row>
    <row r="261" spans="1:12" s="64" customFormat="1" ht="15" customHeight="1">
      <c r="A261" s="104"/>
      <c r="B261" s="105"/>
      <c r="C261" s="106"/>
      <c r="F261" s="106"/>
      <c r="I261" s="106"/>
      <c r="J261" s="106"/>
      <c r="L261" s="106"/>
    </row>
    <row r="262" spans="1:12" s="64" customFormat="1" ht="15" customHeight="1">
      <c r="A262" s="104"/>
      <c r="B262" s="105"/>
      <c r="C262" s="106"/>
      <c r="F262" s="106"/>
      <c r="I262" s="106"/>
      <c r="J262" s="106"/>
      <c r="L262" s="106"/>
    </row>
    <row r="263" spans="1:12" s="64" customFormat="1" ht="15" customHeight="1">
      <c r="A263" s="104"/>
      <c r="B263" s="105"/>
      <c r="C263" s="106"/>
      <c r="F263" s="106"/>
      <c r="I263" s="106"/>
      <c r="J263" s="106"/>
      <c r="L263" s="106"/>
    </row>
    <row r="264" spans="1:12" s="64" customFormat="1" ht="15" customHeight="1">
      <c r="A264" s="104"/>
      <c r="B264" s="105"/>
      <c r="C264" s="106"/>
      <c r="F264" s="106"/>
      <c r="I264" s="106"/>
      <c r="J264" s="106"/>
      <c r="L264" s="106"/>
    </row>
    <row r="265" spans="1:12" s="64" customFormat="1" ht="15" customHeight="1">
      <c r="A265" s="104"/>
      <c r="B265" s="105"/>
      <c r="C265" s="106"/>
      <c r="F265" s="106"/>
      <c r="I265" s="106"/>
      <c r="J265" s="106"/>
      <c r="L265" s="106"/>
    </row>
    <row r="266" spans="1:12" s="64" customFormat="1" ht="15" customHeight="1">
      <c r="A266" s="104"/>
      <c r="B266" s="105"/>
      <c r="C266" s="106"/>
      <c r="F266" s="106"/>
      <c r="I266" s="106"/>
      <c r="J266" s="106"/>
      <c r="L266" s="106"/>
    </row>
    <row r="267" spans="1:12" s="64" customFormat="1" ht="15" customHeight="1">
      <c r="A267" s="104"/>
      <c r="B267" s="105"/>
      <c r="C267" s="106"/>
      <c r="F267" s="106"/>
      <c r="I267" s="106"/>
      <c r="J267" s="106"/>
      <c r="L267" s="106"/>
    </row>
    <row r="268" spans="1:12" s="64" customFormat="1" ht="15" customHeight="1">
      <c r="A268" s="104"/>
      <c r="B268" s="105"/>
      <c r="C268" s="106"/>
      <c r="F268" s="106"/>
      <c r="I268" s="106"/>
      <c r="J268" s="106"/>
      <c r="L268" s="106"/>
    </row>
    <row r="269" spans="1:12" s="64" customFormat="1" ht="15" customHeight="1">
      <c r="A269" s="104"/>
      <c r="B269" s="105"/>
      <c r="C269" s="106"/>
      <c r="F269" s="106"/>
      <c r="I269" s="106"/>
      <c r="J269" s="106"/>
      <c r="L269" s="106"/>
    </row>
    <row r="270" spans="1:12" s="64" customFormat="1" ht="15" customHeight="1">
      <c r="A270" s="104"/>
      <c r="B270" s="105"/>
      <c r="C270" s="106"/>
      <c r="F270" s="106"/>
      <c r="I270" s="106"/>
      <c r="J270" s="106"/>
      <c r="L270" s="106"/>
    </row>
    <row r="271" spans="1:12" s="64" customFormat="1" ht="15" customHeight="1">
      <c r="A271" s="104"/>
      <c r="B271" s="105"/>
      <c r="C271" s="106"/>
      <c r="F271" s="106"/>
      <c r="I271" s="106"/>
      <c r="J271" s="106"/>
      <c r="L271" s="106"/>
    </row>
  </sheetData>
  <sheetProtection/>
  <mergeCells count="32">
    <mergeCell ref="B52:O52"/>
    <mergeCell ref="B62:O62"/>
    <mergeCell ref="B97:O97"/>
    <mergeCell ref="B120:O120"/>
    <mergeCell ref="B150:O150"/>
    <mergeCell ref="B204:O204"/>
    <mergeCell ref="J10:J11"/>
    <mergeCell ref="K10:K11"/>
    <mergeCell ref="M10:M11"/>
    <mergeCell ref="N10:N11"/>
    <mergeCell ref="B13:O13"/>
    <mergeCell ref="B46:O46"/>
    <mergeCell ref="L8:N8"/>
    <mergeCell ref="O8:O11"/>
    <mergeCell ref="C9:C11"/>
    <mergeCell ref="D9:E9"/>
    <mergeCell ref="F9:F11"/>
    <mergeCell ref="G9:H9"/>
    <mergeCell ref="I9:I11"/>
    <mergeCell ref="J9:K9"/>
    <mergeCell ref="L9:L11"/>
    <mergeCell ref="M9:N9"/>
    <mergeCell ref="B6:K6"/>
    <mergeCell ref="A8:A11"/>
    <mergeCell ref="B8:B11"/>
    <mergeCell ref="C8:E8"/>
    <mergeCell ref="F8:H8"/>
    <mergeCell ref="I8:K8"/>
    <mergeCell ref="D10:D11"/>
    <mergeCell ref="E10:E11"/>
    <mergeCell ref="G10:G11"/>
    <mergeCell ref="H10:H11"/>
  </mergeCells>
  <printOptions/>
  <pageMargins left="0.1968503937007874" right="0" top="0.7086614173228347" bottom="0.5118110236220472" header="0.31496062992125984" footer="0.31496062992125984"/>
  <pageSetup horizontalDpi="600" verticalDpi="600" orientation="landscape" paperSize="9" scale="8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="110" zoomScaleNormal="110" zoomScalePageLayoutView="0" workbookViewId="0" topLeftCell="A7">
      <selection activeCell="I22" sqref="I22"/>
    </sheetView>
  </sheetViews>
  <sheetFormatPr defaultColWidth="9.140625" defaultRowHeight="15"/>
  <cols>
    <col min="1" max="1" width="8.28125" style="18" customWidth="1"/>
    <col min="2" max="2" width="65.7109375" style="0" customWidth="1"/>
    <col min="3" max="3" width="15.8515625" style="0" customWidth="1"/>
    <col min="4" max="4" width="3.7109375" style="0" customWidth="1"/>
  </cols>
  <sheetData>
    <row r="1" spans="1:5" ht="15.75">
      <c r="A1" s="112"/>
      <c r="B1" s="145" t="s">
        <v>0</v>
      </c>
      <c r="C1" s="145"/>
      <c r="D1" s="36"/>
      <c r="E1" s="36"/>
    </row>
    <row r="2" spans="1:5" ht="15.75">
      <c r="A2" s="112"/>
      <c r="B2" s="145" t="s">
        <v>476</v>
      </c>
      <c r="C2" s="145"/>
      <c r="D2" s="36"/>
      <c r="E2" s="36"/>
    </row>
    <row r="3" spans="1:5" ht="15.75">
      <c r="A3" s="112"/>
      <c r="B3" s="2" t="s">
        <v>477</v>
      </c>
      <c r="C3" s="3"/>
      <c r="D3" s="36"/>
      <c r="E3" s="36"/>
    </row>
    <row r="4" spans="1:5" ht="15.75">
      <c r="A4" s="112"/>
      <c r="B4" s="3"/>
      <c r="C4" s="3"/>
      <c r="D4" s="36"/>
      <c r="E4" s="36"/>
    </row>
    <row r="5" spans="1:5" ht="15.75">
      <c r="A5" s="112"/>
      <c r="B5" s="3"/>
      <c r="C5" s="3"/>
      <c r="D5" s="36"/>
      <c r="E5" s="36"/>
    </row>
    <row r="6" spans="1:3" ht="15">
      <c r="A6" s="112"/>
      <c r="B6" s="113"/>
      <c r="C6" s="113"/>
    </row>
    <row r="7" spans="1:3" ht="15.75">
      <c r="A7" s="146" t="s">
        <v>478</v>
      </c>
      <c r="B7" s="146"/>
      <c r="C7" s="146"/>
    </row>
    <row r="8" spans="1:3" ht="15.75">
      <c r="A8" s="146" t="s">
        <v>479</v>
      </c>
      <c r="B8" s="146"/>
      <c r="C8" s="146"/>
    </row>
    <row r="9" ht="15">
      <c r="A9" s="112"/>
    </row>
    <row r="10" ht="15">
      <c r="A10" s="112"/>
    </row>
    <row r="11" spans="1:3" ht="15" customHeight="1">
      <c r="A11" s="162" t="s">
        <v>4</v>
      </c>
      <c r="B11" s="162" t="s">
        <v>480</v>
      </c>
      <c r="C11" s="162" t="s">
        <v>481</v>
      </c>
    </row>
    <row r="12" spans="1:3" ht="18.75" customHeight="1">
      <c r="A12" s="163"/>
      <c r="B12" s="163"/>
      <c r="C12" s="163"/>
    </row>
    <row r="13" spans="1:3" ht="30" customHeight="1">
      <c r="A13" s="114" t="s">
        <v>7</v>
      </c>
      <c r="B13" s="115" t="s">
        <v>482</v>
      </c>
      <c r="C13" s="116">
        <v>500</v>
      </c>
    </row>
    <row r="14" spans="1:3" ht="30.75" customHeight="1">
      <c r="A14" s="114" t="s">
        <v>27</v>
      </c>
      <c r="B14" s="115" t="s">
        <v>483</v>
      </c>
      <c r="C14" s="116">
        <v>600</v>
      </c>
    </row>
    <row r="15" spans="1:3" ht="19.5" customHeight="1">
      <c r="A15" s="114" t="s">
        <v>47</v>
      </c>
      <c r="B15" s="115" t="s">
        <v>484</v>
      </c>
      <c r="C15" s="116">
        <v>23400</v>
      </c>
    </row>
    <row r="16" spans="1:3" ht="19.5" customHeight="1">
      <c r="A16" s="114" t="s">
        <v>65</v>
      </c>
      <c r="B16" s="115" t="s">
        <v>485</v>
      </c>
      <c r="C16" s="117">
        <v>8100</v>
      </c>
    </row>
    <row r="17" spans="1:3" ht="19.5" customHeight="1">
      <c r="A17" s="114" t="s">
        <v>67</v>
      </c>
      <c r="B17" s="115" t="s">
        <v>486</v>
      </c>
      <c r="C17" s="117">
        <v>23700</v>
      </c>
    </row>
    <row r="18" spans="1:3" ht="19.5" customHeight="1">
      <c r="A18" s="114" t="s">
        <v>106</v>
      </c>
      <c r="B18" s="115" t="s">
        <v>487</v>
      </c>
      <c r="C18" s="117">
        <v>9200</v>
      </c>
    </row>
    <row r="19" spans="1:3" ht="19.5" customHeight="1">
      <c r="A19" s="114" t="s">
        <v>111</v>
      </c>
      <c r="B19" s="118" t="s">
        <v>488</v>
      </c>
      <c r="C19" s="117">
        <v>3720</v>
      </c>
    </row>
    <row r="20" spans="1:3" ht="19.5" customHeight="1">
      <c r="A20" s="114" t="s">
        <v>228</v>
      </c>
      <c r="B20" s="116" t="s">
        <v>489</v>
      </c>
      <c r="C20" s="117">
        <v>7100</v>
      </c>
    </row>
    <row r="21" spans="1:3" ht="19.5" customHeight="1">
      <c r="A21" s="114" t="s">
        <v>254</v>
      </c>
      <c r="B21" s="115" t="s">
        <v>490</v>
      </c>
      <c r="C21" s="117">
        <v>19600</v>
      </c>
    </row>
    <row r="22" spans="1:3" ht="19.5" customHeight="1">
      <c r="A22" s="114" t="s">
        <v>257</v>
      </c>
      <c r="B22" s="115" t="s">
        <v>491</v>
      </c>
      <c r="C22" s="117">
        <v>446600</v>
      </c>
    </row>
    <row r="23" spans="1:3" ht="19.5" customHeight="1">
      <c r="A23" s="114" t="s">
        <v>269</v>
      </c>
      <c r="B23" s="115" t="s">
        <v>492</v>
      </c>
      <c r="C23" s="116">
        <v>177100</v>
      </c>
    </row>
    <row r="24" spans="1:3" ht="19.5" customHeight="1">
      <c r="A24" s="114" t="s">
        <v>282</v>
      </c>
      <c r="B24" s="115" t="s">
        <v>493</v>
      </c>
      <c r="C24" s="116">
        <v>257000</v>
      </c>
    </row>
    <row r="25" spans="1:3" ht="20.25" customHeight="1">
      <c r="A25" s="114" t="s">
        <v>494</v>
      </c>
      <c r="B25" s="115" t="s">
        <v>550</v>
      </c>
      <c r="C25" s="116">
        <v>6706</v>
      </c>
    </row>
    <row r="26" spans="1:3" ht="19.5" customHeight="1">
      <c r="A26" s="114" t="s">
        <v>299</v>
      </c>
      <c r="B26" s="115" t="s">
        <v>551</v>
      </c>
      <c r="C26" s="116">
        <v>32500</v>
      </c>
    </row>
    <row r="27" spans="1:3" ht="19.5" customHeight="1">
      <c r="A27" s="114" t="s">
        <v>301</v>
      </c>
      <c r="B27" s="119" t="s">
        <v>495</v>
      </c>
      <c r="C27" s="116">
        <v>152600</v>
      </c>
    </row>
    <row r="28" spans="1:3" ht="19.5" customHeight="1">
      <c r="A28" s="114" t="s">
        <v>303</v>
      </c>
      <c r="B28" s="119" t="s">
        <v>496</v>
      </c>
      <c r="C28" s="116">
        <v>77100</v>
      </c>
    </row>
    <row r="29" spans="1:3" ht="19.5" customHeight="1">
      <c r="A29" s="114" t="s">
        <v>305</v>
      </c>
      <c r="B29" s="115" t="s">
        <v>497</v>
      </c>
      <c r="C29" s="116">
        <v>160800</v>
      </c>
    </row>
    <row r="30" spans="1:3" ht="19.5" customHeight="1">
      <c r="A30" s="114" t="s">
        <v>307</v>
      </c>
      <c r="B30" s="115" t="s">
        <v>552</v>
      </c>
      <c r="C30" s="116">
        <v>11000</v>
      </c>
    </row>
    <row r="31" spans="1:3" ht="19.5" customHeight="1">
      <c r="A31" s="114" t="s">
        <v>309</v>
      </c>
      <c r="B31" s="115" t="s">
        <v>498</v>
      </c>
      <c r="C31" s="116">
        <v>13500</v>
      </c>
    </row>
    <row r="32" spans="1:3" ht="18.75" customHeight="1">
      <c r="A32" s="114" t="s">
        <v>311</v>
      </c>
      <c r="B32" s="115" t="s">
        <v>499</v>
      </c>
      <c r="C32" s="116">
        <v>391400</v>
      </c>
    </row>
    <row r="33" spans="1:3" ht="19.5" customHeight="1">
      <c r="A33" s="114" t="s">
        <v>313</v>
      </c>
      <c r="B33" s="120" t="s">
        <v>500</v>
      </c>
      <c r="C33" s="121">
        <v>149000</v>
      </c>
    </row>
    <row r="34" spans="1:3" ht="19.5" customHeight="1">
      <c r="A34" s="114" t="s">
        <v>501</v>
      </c>
      <c r="B34" s="115" t="s">
        <v>502</v>
      </c>
      <c r="C34" s="116">
        <v>376000</v>
      </c>
    </row>
    <row r="35" spans="1:3" ht="31.5" customHeight="1">
      <c r="A35" s="114" t="s">
        <v>347</v>
      </c>
      <c r="B35" s="115" t="s">
        <v>503</v>
      </c>
      <c r="C35" s="116">
        <v>200</v>
      </c>
    </row>
    <row r="36" spans="1:3" ht="19.5" customHeight="1">
      <c r="A36" s="114" t="s">
        <v>355</v>
      </c>
      <c r="B36" s="115" t="s">
        <v>504</v>
      </c>
      <c r="C36" s="116">
        <v>993</v>
      </c>
    </row>
    <row r="37" spans="1:3" s="60" customFormat="1" ht="15.75">
      <c r="A37" s="122"/>
      <c r="B37" s="123" t="s">
        <v>505</v>
      </c>
      <c r="C37" s="124">
        <f>SUM(C13:C36)</f>
        <v>2348419</v>
      </c>
    </row>
    <row r="38" s="35" customFormat="1" ht="15.75">
      <c r="A38" s="2"/>
    </row>
    <row r="39" spans="1:2" s="36" customFormat="1" ht="15.75">
      <c r="A39" s="2"/>
      <c r="B39" s="2" t="s">
        <v>506</v>
      </c>
    </row>
    <row r="40" s="36" customFormat="1" ht="15.75">
      <c r="A40" s="2"/>
    </row>
    <row r="41" spans="1:2" s="35" customFormat="1" ht="15.75">
      <c r="A41" s="2"/>
      <c r="B41" s="125"/>
    </row>
    <row r="42" spans="1:2" s="36" customFormat="1" ht="15.75">
      <c r="A42" s="2"/>
      <c r="B42" s="126"/>
    </row>
    <row r="43" s="36" customFormat="1" ht="15.75">
      <c r="A43" s="2"/>
    </row>
    <row r="44" s="36" customFormat="1" ht="15.75">
      <c r="A44" s="2"/>
    </row>
    <row r="45" s="36" customFormat="1" ht="15.75">
      <c r="A45" s="2"/>
    </row>
    <row r="46" s="36" customFormat="1" ht="15.75">
      <c r="A46" s="2"/>
    </row>
    <row r="47" s="36" customFormat="1" ht="15.75">
      <c r="A47" s="2"/>
    </row>
    <row r="48" s="36" customFormat="1" ht="15.75">
      <c r="A48" s="2"/>
    </row>
    <row r="49" spans="1:2" s="128" customFormat="1" ht="15.75">
      <c r="A49" s="127"/>
      <c r="B49" s="36"/>
    </row>
    <row r="50" s="128" customFormat="1" ht="15">
      <c r="A50" s="127"/>
    </row>
    <row r="51" s="128" customFormat="1" ht="15">
      <c r="A51" s="127"/>
    </row>
  </sheetData>
  <sheetProtection/>
  <mergeCells count="7">
    <mergeCell ref="B1:C1"/>
    <mergeCell ref="B2:C2"/>
    <mergeCell ref="A7:C7"/>
    <mergeCell ref="A8:C8"/>
    <mergeCell ref="A11:A12"/>
    <mergeCell ref="B11:B12"/>
    <mergeCell ref="C11:C1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120" zoomScaleNormal="120" zoomScalePageLayoutView="0" workbookViewId="0" topLeftCell="A1">
      <selection activeCell="H12" sqref="H12"/>
    </sheetView>
  </sheetViews>
  <sheetFormatPr defaultColWidth="9.140625" defaultRowHeight="15"/>
  <cols>
    <col min="1" max="1" width="8.8515625" style="136" customWidth="1"/>
    <col min="2" max="2" width="65.00390625" style="0" customWidth="1"/>
    <col min="3" max="3" width="14.57421875" style="0" customWidth="1"/>
    <col min="4" max="4" width="3.00390625" style="0" customWidth="1"/>
  </cols>
  <sheetData>
    <row r="1" spans="1:5" ht="15.75">
      <c r="A1" s="112"/>
      <c r="B1" s="145" t="s">
        <v>0</v>
      </c>
      <c r="C1" s="145"/>
      <c r="D1" s="36"/>
      <c r="E1" s="36"/>
    </row>
    <row r="2" spans="1:5" ht="15.75">
      <c r="A2" s="112"/>
      <c r="B2" s="145" t="s">
        <v>507</v>
      </c>
      <c r="C2" s="145"/>
      <c r="D2" s="36"/>
      <c r="E2" s="36"/>
    </row>
    <row r="3" spans="1:5" ht="15.75">
      <c r="A3" s="112"/>
      <c r="B3" s="2" t="s">
        <v>508</v>
      </c>
      <c r="C3" s="3"/>
      <c r="D3" s="36"/>
      <c r="E3" s="36"/>
    </row>
    <row r="4" spans="1:3" ht="15">
      <c r="A4" s="112"/>
      <c r="B4" s="113"/>
      <c r="C4" s="113"/>
    </row>
    <row r="5" spans="1:3" ht="15">
      <c r="A5" s="112"/>
      <c r="B5" s="113"/>
      <c r="C5" s="113"/>
    </row>
    <row r="6" spans="1:3" ht="35.25" customHeight="1">
      <c r="A6" s="147" t="s">
        <v>509</v>
      </c>
      <c r="B6" s="147"/>
      <c r="C6" s="147"/>
    </row>
    <row r="7" spans="1:3" ht="15.75">
      <c r="A7" s="146"/>
      <c r="B7" s="146"/>
      <c r="C7" s="146"/>
    </row>
    <row r="8" ht="15">
      <c r="A8" s="112"/>
    </row>
    <row r="9" ht="15">
      <c r="A9" s="112"/>
    </row>
    <row r="10" spans="1:3" ht="15" customHeight="1">
      <c r="A10" s="162" t="s">
        <v>4</v>
      </c>
      <c r="B10" s="162" t="s">
        <v>510</v>
      </c>
      <c r="C10" s="162" t="s">
        <v>511</v>
      </c>
    </row>
    <row r="11" spans="1:3" ht="18.75" customHeight="1">
      <c r="A11" s="163"/>
      <c r="B11" s="163"/>
      <c r="C11" s="163"/>
    </row>
    <row r="12" spans="1:3" ht="19.5" customHeight="1">
      <c r="A12" s="129" t="s">
        <v>7</v>
      </c>
      <c r="B12" s="130" t="s">
        <v>512</v>
      </c>
      <c r="C12" s="131">
        <v>85000</v>
      </c>
    </row>
    <row r="13" spans="1:3" ht="19.5" customHeight="1">
      <c r="A13" s="129" t="s">
        <v>9</v>
      </c>
      <c r="B13" s="130" t="s">
        <v>513</v>
      </c>
      <c r="C13" s="132">
        <v>85000</v>
      </c>
    </row>
    <row r="14" spans="1:3" ht="19.5" customHeight="1">
      <c r="A14" s="129" t="s">
        <v>27</v>
      </c>
      <c r="B14" s="130" t="s">
        <v>514</v>
      </c>
      <c r="C14" s="133">
        <v>655000</v>
      </c>
    </row>
    <row r="15" spans="1:3" ht="47.25" customHeight="1">
      <c r="A15" s="129" t="s">
        <v>29</v>
      </c>
      <c r="B15" s="130" t="s">
        <v>515</v>
      </c>
      <c r="C15" s="133">
        <v>315000</v>
      </c>
    </row>
    <row r="16" spans="1:3" ht="32.25" customHeight="1">
      <c r="A16" s="129" t="s">
        <v>31</v>
      </c>
      <c r="B16" s="130" t="s">
        <v>516</v>
      </c>
      <c r="C16" s="133">
        <v>240000</v>
      </c>
    </row>
    <row r="17" spans="1:3" ht="19.5" customHeight="1">
      <c r="A17" s="129" t="s">
        <v>33</v>
      </c>
      <c r="B17" s="130" t="s">
        <v>517</v>
      </c>
      <c r="C17" s="133">
        <v>100000</v>
      </c>
    </row>
    <row r="18" spans="1:3" ht="19.5" customHeight="1">
      <c r="A18" s="134"/>
      <c r="B18" s="123" t="s">
        <v>128</v>
      </c>
      <c r="C18" s="124">
        <f>SUM(C12,C14)</f>
        <v>740000</v>
      </c>
    </row>
    <row r="19" spans="1:2" s="84" customFormat="1" ht="15">
      <c r="A19" s="135"/>
      <c r="B19" s="60"/>
    </row>
    <row r="21" ht="15">
      <c r="B21" s="18" t="s">
        <v>518</v>
      </c>
    </row>
  </sheetData>
  <sheetProtection/>
  <mergeCells count="7">
    <mergeCell ref="B1:C1"/>
    <mergeCell ref="B2:C2"/>
    <mergeCell ref="A6:C6"/>
    <mergeCell ref="A7:C7"/>
    <mergeCell ref="A10:A11"/>
    <mergeCell ref="B10:B11"/>
    <mergeCell ref="C10:C1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="110" zoomScaleNormal="110" zoomScalePageLayoutView="0" workbookViewId="0" topLeftCell="A19">
      <selection activeCell="I32" sqref="I32"/>
    </sheetView>
  </sheetViews>
  <sheetFormatPr defaultColWidth="9.140625" defaultRowHeight="15"/>
  <cols>
    <col min="1" max="1" width="8.140625" style="8" customWidth="1"/>
    <col min="2" max="2" width="66.57421875" style="8" customWidth="1"/>
    <col min="3" max="3" width="14.57421875" style="8" customWidth="1"/>
    <col min="4" max="16384" width="9.140625" style="8" customWidth="1"/>
  </cols>
  <sheetData>
    <row r="1" spans="1:5" ht="15.75">
      <c r="A1" s="1"/>
      <c r="B1" s="145" t="s">
        <v>0</v>
      </c>
      <c r="C1" s="145"/>
      <c r="D1" s="36"/>
      <c r="E1" s="36"/>
    </row>
    <row r="2" spans="1:5" ht="15.75">
      <c r="A2" s="1"/>
      <c r="B2" s="145" t="s">
        <v>507</v>
      </c>
      <c r="C2" s="145"/>
      <c r="D2" s="36"/>
      <c r="E2" s="36"/>
    </row>
    <row r="3" spans="1:5" ht="15.75">
      <c r="A3" s="1"/>
      <c r="B3" s="2" t="s">
        <v>519</v>
      </c>
      <c r="C3" s="3"/>
      <c r="D3" s="36"/>
      <c r="E3" s="36"/>
    </row>
    <row r="4" spans="1:5" ht="15.75">
      <c r="A4" s="1"/>
      <c r="B4" s="3"/>
      <c r="C4" s="3"/>
      <c r="D4" s="36"/>
      <c r="E4" s="36"/>
    </row>
    <row r="5" spans="1:3" ht="14.25">
      <c r="A5" s="1"/>
      <c r="B5" s="113"/>
      <c r="C5" s="113"/>
    </row>
    <row r="6" spans="1:3" ht="14.25">
      <c r="A6" s="1"/>
      <c r="B6" s="113"/>
      <c r="C6" s="113"/>
    </row>
    <row r="7" spans="1:3" ht="15.75">
      <c r="A7" s="146" t="s">
        <v>520</v>
      </c>
      <c r="B7" s="146"/>
      <c r="C7" s="146"/>
    </row>
    <row r="8" spans="1:3" ht="15.75">
      <c r="A8" s="146" t="s">
        <v>521</v>
      </c>
      <c r="B8" s="146"/>
      <c r="C8" s="146"/>
    </row>
    <row r="9" ht="14.25">
      <c r="A9" s="1"/>
    </row>
    <row r="10" ht="14.25">
      <c r="A10" s="1"/>
    </row>
    <row r="11" spans="1:3" ht="15" customHeight="1">
      <c r="A11" s="162" t="s">
        <v>4</v>
      </c>
      <c r="B11" s="162" t="s">
        <v>522</v>
      </c>
      <c r="C11" s="162" t="s">
        <v>511</v>
      </c>
    </row>
    <row r="12" spans="1:3" ht="18.75" customHeight="1">
      <c r="A12" s="163"/>
      <c r="B12" s="163"/>
      <c r="C12" s="163"/>
    </row>
    <row r="13" spans="1:3" s="16" customFormat="1" ht="18.75" customHeight="1">
      <c r="A13" s="137" t="s">
        <v>7</v>
      </c>
      <c r="B13" s="138" t="s">
        <v>523</v>
      </c>
      <c r="C13" s="139">
        <f>SUM(C14:C20,C24:C27)</f>
        <v>229722</v>
      </c>
    </row>
    <row r="14" spans="1:3" ht="18.75" customHeight="1">
      <c r="A14" s="140" t="s">
        <v>9</v>
      </c>
      <c r="B14" s="141" t="s">
        <v>524</v>
      </c>
      <c r="C14" s="14">
        <v>113</v>
      </c>
    </row>
    <row r="15" spans="1:3" ht="18.75" customHeight="1">
      <c r="A15" s="140" t="s">
        <v>11</v>
      </c>
      <c r="B15" s="141" t="s">
        <v>525</v>
      </c>
      <c r="C15" s="14">
        <v>229</v>
      </c>
    </row>
    <row r="16" spans="1:3" ht="18.75" customHeight="1">
      <c r="A16" s="140" t="s">
        <v>13</v>
      </c>
      <c r="B16" s="141" t="s">
        <v>526</v>
      </c>
      <c r="C16" s="14">
        <v>1987</v>
      </c>
    </row>
    <row r="17" spans="1:3" ht="18.75" customHeight="1">
      <c r="A17" s="140" t="s">
        <v>15</v>
      </c>
      <c r="B17" s="141" t="s">
        <v>527</v>
      </c>
      <c r="C17" s="14">
        <v>271</v>
      </c>
    </row>
    <row r="18" spans="1:3" ht="18.75" customHeight="1">
      <c r="A18" s="140" t="s">
        <v>17</v>
      </c>
      <c r="B18" s="141" t="s">
        <v>528</v>
      </c>
      <c r="C18" s="14">
        <v>39236</v>
      </c>
    </row>
    <row r="19" spans="1:3" ht="18.75" customHeight="1">
      <c r="A19" s="140" t="s">
        <v>19</v>
      </c>
      <c r="B19" s="141" t="s">
        <v>529</v>
      </c>
      <c r="C19" s="14">
        <v>36</v>
      </c>
    </row>
    <row r="20" spans="1:3" ht="18.75" customHeight="1">
      <c r="A20" s="140" t="s">
        <v>21</v>
      </c>
      <c r="B20" s="141" t="s">
        <v>530</v>
      </c>
      <c r="C20" s="14">
        <f>SUM(C21:C23)</f>
        <v>12002</v>
      </c>
    </row>
    <row r="21" spans="1:3" ht="18.75" customHeight="1">
      <c r="A21" s="142" t="s">
        <v>531</v>
      </c>
      <c r="B21" s="141" t="s">
        <v>532</v>
      </c>
      <c r="C21" s="14">
        <v>6753</v>
      </c>
    </row>
    <row r="22" spans="1:3" ht="18.75" customHeight="1">
      <c r="A22" s="142" t="s">
        <v>533</v>
      </c>
      <c r="B22" s="141" t="s">
        <v>534</v>
      </c>
      <c r="C22" s="14">
        <v>4777</v>
      </c>
    </row>
    <row r="23" spans="1:3" ht="18.75" customHeight="1">
      <c r="A23" s="142" t="s">
        <v>535</v>
      </c>
      <c r="B23" s="141" t="s">
        <v>536</v>
      </c>
      <c r="C23" s="14">
        <v>472</v>
      </c>
    </row>
    <row r="24" spans="1:3" ht="18.75" customHeight="1">
      <c r="A24" s="140" t="s">
        <v>23</v>
      </c>
      <c r="B24" s="141" t="s">
        <v>537</v>
      </c>
      <c r="C24" s="14">
        <v>43</v>
      </c>
    </row>
    <row r="25" spans="1:3" ht="18.75" customHeight="1">
      <c r="A25" s="140" t="s">
        <v>25</v>
      </c>
      <c r="B25" s="141" t="s">
        <v>538</v>
      </c>
      <c r="C25" s="14">
        <v>4807</v>
      </c>
    </row>
    <row r="26" spans="1:3" ht="18.75" customHeight="1">
      <c r="A26" s="140" t="s">
        <v>539</v>
      </c>
      <c r="B26" s="141" t="s">
        <v>540</v>
      </c>
      <c r="C26" s="14">
        <v>21923</v>
      </c>
    </row>
    <row r="27" spans="1:3" ht="18.75" customHeight="1">
      <c r="A27" s="140" t="s">
        <v>541</v>
      </c>
      <c r="B27" s="141" t="s">
        <v>542</v>
      </c>
      <c r="C27" s="14">
        <v>149075</v>
      </c>
    </row>
    <row r="28" spans="1:3" s="84" customFormat="1" ht="32.25" customHeight="1">
      <c r="A28" s="129" t="s">
        <v>27</v>
      </c>
      <c r="B28" s="120" t="s">
        <v>543</v>
      </c>
      <c r="C28" s="11">
        <v>746200</v>
      </c>
    </row>
    <row r="29" spans="1:3" s="84" customFormat="1" ht="31.5" customHeight="1">
      <c r="A29" s="129" t="s">
        <v>47</v>
      </c>
      <c r="B29" s="120" t="s">
        <v>544</v>
      </c>
      <c r="C29" s="11">
        <f>307078+38800</f>
        <v>345878</v>
      </c>
    </row>
    <row r="30" spans="1:3" s="84" customFormat="1" ht="30.75" customHeight="1">
      <c r="A30" s="129" t="s">
        <v>65</v>
      </c>
      <c r="B30" s="120" t="s">
        <v>545</v>
      </c>
      <c r="C30" s="11">
        <v>110000</v>
      </c>
    </row>
    <row r="31" spans="1:3" s="84" customFormat="1" ht="30" customHeight="1">
      <c r="A31" s="129" t="s">
        <v>67</v>
      </c>
      <c r="B31" s="120" t="s">
        <v>546</v>
      </c>
      <c r="C31" s="11">
        <v>12775</v>
      </c>
    </row>
    <row r="32" spans="1:3" s="84" customFormat="1" ht="30.75" customHeight="1">
      <c r="A32" s="129" t="s">
        <v>106</v>
      </c>
      <c r="B32" s="120" t="s">
        <v>547</v>
      </c>
      <c r="C32" s="11">
        <v>452577</v>
      </c>
    </row>
    <row r="33" spans="1:3" s="84" customFormat="1" ht="24" customHeight="1">
      <c r="A33" s="129" t="s">
        <v>111</v>
      </c>
      <c r="B33" s="120" t="s">
        <v>548</v>
      </c>
      <c r="C33" s="11">
        <v>26896</v>
      </c>
    </row>
    <row r="34" spans="1:3" s="84" customFormat="1" ht="23.25" customHeight="1">
      <c r="A34" s="129"/>
      <c r="B34" s="123" t="s">
        <v>505</v>
      </c>
      <c r="C34" s="123">
        <f>SUM(C13,C28:C33)</f>
        <v>1924048</v>
      </c>
    </row>
    <row r="35" spans="1:2" s="84" customFormat="1" ht="15.75" thickBot="1">
      <c r="A35" s="60"/>
      <c r="B35" s="60"/>
    </row>
    <row r="36" spans="1:3" s="84" customFormat="1" ht="16.5" thickBot="1">
      <c r="A36" s="60"/>
      <c r="B36" s="143"/>
      <c r="C36" s="144"/>
    </row>
    <row r="37" s="60" customFormat="1" ht="15">
      <c r="B37" s="60" t="s">
        <v>549</v>
      </c>
    </row>
    <row r="38" s="60" customFormat="1" ht="15"/>
    <row r="39" s="60" customFormat="1" ht="15"/>
    <row r="40" s="60" customFormat="1" ht="15"/>
    <row r="41" s="60" customFormat="1" ht="15"/>
    <row r="42" s="35" customFormat="1" ht="15.75"/>
    <row r="43" s="36" customFormat="1" ht="15.75"/>
    <row r="44" s="36" customFormat="1" ht="15.75"/>
    <row r="45" s="35" customFormat="1" ht="15.75">
      <c r="B45" s="125"/>
    </row>
    <row r="46" s="36" customFormat="1" ht="15.75">
      <c r="B46" s="126"/>
    </row>
    <row r="47" s="36" customFormat="1" ht="15.75"/>
    <row r="48" s="36" customFormat="1" ht="15.75"/>
    <row r="49" s="36" customFormat="1" ht="15.75"/>
    <row r="50" s="36" customFormat="1" ht="15.75"/>
    <row r="51" s="36" customFormat="1" ht="15.75"/>
    <row r="52" s="36" customFormat="1" ht="15.75"/>
    <row r="53" s="128" customFormat="1" ht="15.75">
      <c r="B53" s="36"/>
    </row>
    <row r="54" s="128" customFormat="1" ht="15"/>
    <row r="55" s="128" customFormat="1" ht="15"/>
  </sheetData>
  <sheetProtection/>
  <mergeCells count="7">
    <mergeCell ref="B1:C1"/>
    <mergeCell ref="B2:C2"/>
    <mergeCell ref="A7:C7"/>
    <mergeCell ref="A8:C8"/>
    <mergeCell ref="A11:A12"/>
    <mergeCell ref="B11:B12"/>
    <mergeCell ref="C11:C12"/>
  </mergeCells>
  <printOptions/>
  <pageMargins left="0.7086614173228346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astoskiene</dc:creator>
  <cp:keywords/>
  <dc:description/>
  <cp:lastModifiedBy>Audrone Stoskiene</cp:lastModifiedBy>
  <cp:lastPrinted>2019-02-19T14:12:46Z</cp:lastPrinted>
  <dcterms:created xsi:type="dcterms:W3CDTF">2015-08-04T05:33:16Z</dcterms:created>
  <dcterms:modified xsi:type="dcterms:W3CDTF">2019-02-19T14:23:31Z</dcterms:modified>
  <cp:category/>
  <cp:version/>
  <cp:contentType/>
  <cp:contentStatus/>
</cp:coreProperties>
</file>