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patikslintas priedas" sheetId="1" r:id="rId1"/>
    <sheet name="2 patikslintas priedas" sheetId="2" r:id="rId2"/>
    <sheet name="3 patikslintas priedas" sheetId="3" r:id="rId3"/>
    <sheet name="4 patikslintas priedas" sheetId="4" r:id="rId4"/>
    <sheet name="5 patikslintas priedas" sheetId="5" r:id="rId5"/>
    <sheet name="6 patikslintas priedas" sheetId="6" r:id="rId6"/>
  </sheets>
  <definedNames>
    <definedName name="_xlnm.Print_Titles" localSheetId="0">'1 patikslintas priedas'!$10:$10</definedName>
    <definedName name="_xlnm.Print_Titles" localSheetId="1">'2 patikslintas priedas'!$10:$10</definedName>
    <definedName name="_xlnm.Print_Titles" localSheetId="2">'3 patikslintas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D18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160800 savvivalda
83000 tarybos nariai </t>
        </r>
      </text>
    </comment>
    <comment ref="L2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60000 pervedama Jurbarko r. PSPC</t>
        </r>
      </text>
    </comment>
    <comment ref="L10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su likuciu 2018-12-31</t>
        </r>
      </text>
    </comment>
    <comment ref="E128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L136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7000 islaikymas</t>
        </r>
      </text>
    </comment>
    <comment ref="C161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1500
</t>
        </r>
      </text>
    </comment>
    <comment ref="C163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 60000</t>
        </r>
      </text>
    </comment>
    <comment ref="C16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1700 mityba</t>
        </r>
      </text>
    </comment>
    <comment ref="C17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7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2000 mityba</t>
        </r>
      </text>
    </comment>
    <comment ref="C176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1500 mityba</t>
        </r>
      </text>
    </comment>
    <comment ref="C17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82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900 mityba</t>
        </r>
      </text>
    </comment>
    <comment ref="C18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7000 mityba</t>
        </r>
      </text>
    </comment>
    <comment ref="C18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5000 mityba</t>
        </r>
      </text>
    </comment>
    <comment ref="C19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C23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7225 tarybos suteiktos lengvatos
2775 lengvatos pagal pajamas</t>
        </r>
      </text>
    </comment>
    <comment ref="C23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30000 Evangeliku seimos centro projektui finansuoti
18000 projektams
800 pagalbos pinigai, nes nera galimybes teikti paslauga</t>
        </r>
      </text>
    </comment>
  </commentList>
</comments>
</file>

<file path=xl/comments5.xml><?xml version="1.0" encoding="utf-8"?>
<comments xmlns="http://schemas.openxmlformats.org/spreadsheetml/2006/main">
  <authors>
    <author>Audrone Stoskiene</author>
  </authors>
  <commentList>
    <comment ref="C1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104.000 poreikis po konkurso
6.000 nenumatyti darbai</t>
        </r>
      </text>
    </comment>
  </commentList>
</comments>
</file>

<file path=xl/sharedStrings.xml><?xml version="1.0" encoding="utf-8"?>
<sst xmlns="http://schemas.openxmlformats.org/spreadsheetml/2006/main" count="821" uniqueCount="637">
  <si>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</si>
  <si>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</si>
  <si>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</si>
  <si>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</si>
  <si>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</si>
  <si>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</si>
  <si>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</si>
  <si>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</si>
  <si>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</si>
  <si>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</si>
  <si>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</si>
  <si>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</si>
  <si>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</si>
  <si>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</si>
  <si>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</si>
  <si>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</si>
  <si>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</si>
  <si>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</si>
  <si>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</si>
  <si>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</si>
  <si>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</si>
  <si>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</si>
  <si>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</si>
  <si>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</si>
  <si>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</si>
  <si>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</si>
  <si>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</si>
  <si>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</si>
  <si>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</si>
  <si>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</si>
  <si>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</si>
  <si>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</si>
  <si>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</si>
  <si>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</si>
  <si>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</si>
  <si>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</si>
  <si>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</si>
  <si>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</si>
  <si>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</si>
  <si>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</si>
  <si>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</si>
  <si>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</si>
  <si>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</si>
  <si>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</si>
  <si>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</si>
  <si>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</si>
  <si>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</si>
  <si>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</si>
  <si>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</si>
  <si>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</si>
  <si>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</si>
  <si>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</si>
  <si>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</si>
  <si>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</si>
  <si>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</si>
  <si>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</si>
  <si>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</si>
  <si>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</si>
  <si>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</si>
  <si>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</si>
  <si>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</si>
  <si>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</si>
  <si>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</si>
  <si>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</si>
  <si>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</si>
  <si>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</si>
  <si>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</si>
  <si>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</si>
  <si>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</si>
  <si>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</si>
  <si>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</si>
  <si>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</si>
  <si>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</si>
  <si>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</si>
  <si>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</si>
  <si>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</si>
  <si>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</si>
  <si>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</si>
  <si>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</si>
  <si>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</si>
  <si>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</si>
  <si>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</si>
  <si>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</si>
  <si>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</si>
  <si>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</si>
  <si>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</si>
  <si>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</si>
  <si>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</si>
  <si>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</si>
  <si>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</si>
  <si>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</si>
  <si>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</si>
  <si>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</si>
  <si>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</si>
  <si>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</si>
  <si>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</si>
  <si>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</si>
  <si>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</si>
  <si>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</si>
  <si>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</si>
  <si>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</si>
  <si>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</si>
  <si>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</si>
  <si>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</si>
  <si>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</si>
  <si>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</si>
  <si>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</si>
  <si>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</si>
  <si>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</si>
  <si>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</si>
  <si>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</si>
  <si>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</si>
  <si>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</si>
  <si>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</si>
  <si>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</si>
  <si>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</si>
  <si>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</si>
  <si>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</si>
  <si>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</si>
  <si>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</si>
  <si>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</si>
  <si>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</si>
  <si>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</si>
  <si>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</si>
  <si>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</si>
  <si>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</si>
  <si>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</si>
  <si>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</si>
  <si>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</si>
  <si>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</si>
  <si>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</si>
  <si>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</si>
  <si>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</si>
  <si>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</si>
  <si>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</si>
  <si>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</si>
  <si>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</si>
  <si>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</si>
  <si>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</si>
  <si>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</si>
  <si>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</si>
  <si>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</si>
  <si>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</si>
  <si>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</si>
  <si>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</si>
  <si>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</si>
  <si>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</si>
  <si>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</si>
  <si>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</si>
  <si>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</si>
  <si>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</si>
  <si>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</si>
  <si>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</si>
  <si>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</si>
  <si>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</si>
  <si>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</si>
  <si>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</si>
  <si>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</si>
  <si>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</si>
  <si>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</si>
  <si>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</si>
  <si>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</si>
  <si>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</si>
  <si>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</si>
  <si>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</si>
  <si>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</si>
  <si>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</si>
  <si>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</si>
  <si>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</si>
  <si>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</si>
  <si>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</si>
  <si>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</si>
  <si>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</si>
  <si>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</si>
  <si>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</si>
  <si>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</si>
  <si>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</si>
  <si>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</si>
  <si>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</si>
  <si>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</si>
  <si>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</si>
  <si>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</si>
  <si>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</si>
  <si>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</si>
  <si>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</si>
  <si>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</si>
  <si>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</si>
  <si>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</si>
  <si>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</si>
  <si>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</si>
  <si>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</si>
  <si>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</si>
  <si>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</si>
  <si>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</si>
  <si>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</si>
  <si>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</si>
  <si>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</si>
  <si>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</si>
  <si>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kompensacijoms už buitinių atliekų šalinimą</t>
  </si>
  <si>
    <t>civilinei saugai administruoti</t>
  </si>
  <si>
    <t>Turizmo ir verslo informacijos centro veiklos plėtrai</t>
  </si>
  <si>
    <t>švietimo įstaigų ilgalaikiam turtui įsigyti</t>
  </si>
  <si>
    <t>3 priedas</t>
  </si>
  <si>
    <t>Suma (Eur)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</si>
  <si>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</si>
  <si>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</si>
  <si>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</si>
  <si>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</si>
  <si>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8.12.</t>
  </si>
  <si>
    <t xml:space="preserve">13. </t>
  </si>
  <si>
    <t>Jurbarko rajono savivaldybės visuomenės sveikatos biurui</t>
  </si>
  <si>
    <t>nevyriausybinėms organizacijoms remti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</si>
  <si>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</si>
  <si>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</si>
  <si>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</si>
  <si>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</si>
  <si>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</si>
  <si>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</si>
  <si>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</si>
  <si>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</si>
  <si>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11.4.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</si>
  <si>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</si>
  <si>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</si>
  <si>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</si>
  <si>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</si>
  <si>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</si>
  <si>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</si>
  <si>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</si>
  <si>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</si>
  <si>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</si>
  <si>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</si>
  <si>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</si>
  <si>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</si>
  <si>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</si>
  <si>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</si>
  <si>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</si>
  <si>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</si>
  <si>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</si>
  <si>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</si>
  <si>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</si>
  <si>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</si>
  <si>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</si>
  <si>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</si>
  <si>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</si>
  <si>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</si>
  <si>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</si>
  <si>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</si>
  <si>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programoms, skirtoms etninės kultūros sklaidai, vykdyti</t>
  </si>
  <si>
    <t>nekilnojamųjų kultūros vertybių apskaitai, kultūros paveldo objektų tvarkybai, renginiams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</si>
  <si>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</si>
  <si>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</si>
  <si>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</si>
  <si>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</si>
  <si>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</si>
  <si>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</si>
  <si>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</si>
  <si>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</si>
  <si>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</si>
  <si>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</si>
  <si>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</si>
  <si>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</si>
  <si>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</si>
  <si>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</si>
  <si>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</si>
  <si>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</si>
  <si>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</si>
  <si>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</si>
  <si>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</si>
  <si>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</si>
  <si>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</si>
  <si>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</si>
  <si>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</si>
  <si>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</si>
  <si>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</si>
  <si>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</si>
  <si>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</si>
  <si>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</si>
  <si>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</si>
  <si>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</si>
  <si>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43.5.</t>
  </si>
  <si>
    <t>neformaliajam vaikų švietimui finansuoti</t>
  </si>
  <si>
    <t>švietimo įstaigų sporto bazėms remontuoti</t>
  </si>
  <si>
    <t>48.1.</t>
  </si>
  <si>
    <t>pagalba vaikams patekusiems į krizinę situaciją    VšĮ Jurbarko ligoninėje</t>
  </si>
  <si>
    <t>parama vaikus globojančioms šeimoms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</si>
  <si>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</si>
  <si>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</si>
  <si>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</si>
  <si>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</si>
  <si>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</si>
  <si>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</si>
  <si>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</si>
  <si>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</si>
  <si>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</si>
  <si>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</si>
  <si>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</si>
  <si>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</si>
  <si>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</si>
  <si>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</si>
  <si>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</si>
  <si>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</si>
  <si>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</si>
  <si>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</si>
  <si>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</si>
  <si>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</si>
  <si>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</si>
  <si>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</si>
  <si>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</si>
  <si>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</si>
  <si>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</si>
  <si>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</si>
  <si>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</si>
  <si>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</si>
  <si>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</si>
  <si>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</si>
  <si>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</si>
  <si>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</si>
  <si>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</si>
  <si>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</si>
  <si>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</si>
  <si>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</si>
  <si>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</si>
  <si>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</si>
  <si>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</si>
  <si>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</si>
  <si>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</si>
  <si>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</si>
  <si>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</si>
  <si>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</si>
  <si>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</si>
  <si>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</si>
  <si>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</si>
  <si>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</si>
  <si>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</si>
  <si>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</si>
  <si>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</si>
  <si>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</si>
  <si>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</si>
  <si>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</si>
  <si>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</si>
  <si>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</si>
  <si>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</si>
  <si>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</si>
  <si>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</si>
  <si>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>____________________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</si>
  <si>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</si>
  <si>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</si>
  <si>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</si>
  <si>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</si>
  <si>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</si>
  <si>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</si>
  <si>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</si>
  <si>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</si>
  <si>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</si>
  <si>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</si>
  <si>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</si>
  <si>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</si>
  <si>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</si>
  <si>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</si>
  <si>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</si>
  <si>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</si>
  <si>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</si>
  <si>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 xml:space="preserve">            4 priedas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</si>
  <si>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</si>
  <si>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</si>
  <si>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</si>
  <si>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</si>
  <si>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Gyventojų registro tvarkymas ir duomenų teikimas valstybės registrams</t>
  </si>
  <si>
    <t>Duomenų teikimas Suteiktos pagalbos ir nereikšmingos pagalbos registrui</t>
  </si>
  <si>
    <t>Archyvinių dokumentų tvarkymas</t>
  </si>
  <si>
    <t>Valstybinės kalbos vartojimo ir taisyklingumo kontrolė</t>
  </si>
  <si>
    <t>Civilinės būklės aktų registravimas</t>
  </si>
  <si>
    <t>Gyvenamosios vietos deklaravimas</t>
  </si>
  <si>
    <t>Pirminės teisinės pagalbos teikimas</t>
  </si>
  <si>
    <t>Mobilizacijos funkcijos administravimas</t>
  </si>
  <si>
    <t>Civilinės saugos administravimas</t>
  </si>
  <si>
    <t>Priešgaisrinių tarnybų organizavimas</t>
  </si>
  <si>
    <t>Žemės ūkio funkcijų vykdymas</t>
  </si>
  <si>
    <t>Melioracija</t>
  </si>
  <si>
    <t>Mokinių visuomenės sveikatos priežiūra ugdymo įstaigose</t>
  </si>
  <si>
    <t>Visuomenės sveikatos stiprinimas ir stebėsena</t>
  </si>
  <si>
    <t>Paramos mirties atveju skaičiavimas ir mokėjimas</t>
  </si>
  <si>
    <t>Jaunimo teisių apsauga</t>
  </si>
  <si>
    <t>Socialinė parama mokiniams</t>
  </si>
  <si>
    <t>Socialinės paslaugos</t>
  </si>
  <si>
    <t>Būsto nuomos ir išperkamosios būsto nuomos mokesčių dalies kompensacijos</t>
  </si>
  <si>
    <t>Iš viso:</t>
  </si>
  <si>
    <t xml:space="preserve">                                   __________________________</t>
  </si>
  <si>
    <t xml:space="preserve">            5 priedas</t>
  </si>
  <si>
    <t>NUMATOMŲ SKOLINTIS LĖŠŲ (PAGAL PRIIMTUS RAJONO SAVIVALDYBĖS TARYBOS SPRENDIMUS) PASKIRSTYMAS PAGAL PROGRAMAS</t>
  </si>
  <si>
    <t>Programos pavdinimas</t>
  </si>
  <si>
    <t>Bendrųjų funkcijų vykdymo programa</t>
  </si>
  <si>
    <t>Infrastruktūros objektų priežiūros, modernizavimo ir plėtros programa</t>
  </si>
  <si>
    <t>Vaikų, jaunimo ir suaugusiųjų ugdymo programa</t>
  </si>
  <si>
    <t>JURBARKO RAJONO SAVIVALDYBĖS 2018 M. BIUDŽETO IŠLAIDOS PAGAL PROGRAMAS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</si>
  <si>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</si>
  <si>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</si>
  <si>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</si>
  <si>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</si>
  <si>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</si>
  <si>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</si>
  <si>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</si>
  <si>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</si>
  <si>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</si>
  <si>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</si>
  <si>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</si>
  <si>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</si>
  <si>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</si>
  <si>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</si>
  <si>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</si>
  <si>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</si>
  <si>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</si>
  <si>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</si>
  <si>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</si>
  <si>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</si>
  <si>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</si>
  <si>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</si>
  <si>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</si>
  <si>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</si>
  <si>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</si>
  <si>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</si>
  <si>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</si>
  <si>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</si>
  <si>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</si>
  <si>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</si>
  <si>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</si>
  <si>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</si>
  <si>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</si>
  <si>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kultūros ir sporto įstaigoms remontuoti, ilgalaikio turto įsigijimo išlaidoms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</si>
  <si>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</si>
  <si>
    <t>43.6.</t>
  </si>
  <si>
    <t>lėšos Naujamiesčio pagrindinės mokyklos sporto aikštynui atnaujinti</t>
  </si>
  <si>
    <t>socialinio būsto fondo plėtrai, būstų įsigijimo išlaidoms</t>
  </si>
  <si>
    <t>socialinių paslaugų šeimoms ir neįgaliesiems plėtrai</t>
  </si>
  <si>
    <t>projektui „Socialinio būsto plėtra Jurbarko rajono savivaldybėje“ finansuoti</t>
  </si>
  <si>
    <t>užimtumo programai vykdyti</t>
  </si>
  <si>
    <t xml:space="preserve">                                       2019 m. vasario 28 d. sprendimo Nr. T2-42</t>
  </si>
  <si>
    <t xml:space="preserve">                                                             (2019 m. gegužės 30 d. sprendimo Nr. T2-</t>
  </si>
  <si>
    <t>JURBARKO RAJONO SAVIVALDYBĖS 2019 M. BIUDŽETO PAJAMOS</t>
  </si>
  <si>
    <t>Mokesčiai, pajamos ir rinkliavos, nurodyti 2019 metų valstybės biudžeto ir savivaldybių biudžetų finansinių rodiklių patvirtinimo įstatyme, iš jų:</t>
  </si>
  <si>
    <t>Mokymo lėšoms finansuoti</t>
  </si>
  <si>
    <t>Tikslinės lėšos neformaliojo švietimo pedagogams</t>
  </si>
  <si>
    <t>Tikslinės lėšos Jurbarko kultūros centro pastatui modernizuoti</t>
  </si>
  <si>
    <t>Tikslinės lėšos Jurbarko ligoninei medicinos aparatūrai įsigyti</t>
  </si>
  <si>
    <t>3.9.</t>
  </si>
  <si>
    <t>3.10.</t>
  </si>
  <si>
    <t>3.11.</t>
  </si>
  <si>
    <t>Tikslinė dotacija tekstilės atliekų ir pakuočių atliekų surinkimo priemonėms (konteineriams) įsigyti</t>
  </si>
  <si>
    <t>3.12.</t>
  </si>
  <si>
    <t>2018 12 31 biudžeto lėšų likučiai, nukreipiami į savivaldybės biudžetą, iš jų:</t>
  </si>
  <si>
    <t>Tikslinė dotacija privatiems namams prijungti prie nuotekų infrastruktūros</t>
  </si>
  <si>
    <t>5.5.</t>
  </si>
  <si>
    <t>5.6.</t>
  </si>
  <si>
    <t>socialinės paramos plėtrai, socialinei atskirčiai mažinti</t>
  </si>
  <si>
    <t>Valstybės biudžeto lėšos mokymo reikmėms finansuoti, iš jų:</t>
  </si>
  <si>
    <t>Projektams vykdyti iš skolintų lėšų, iš jų:</t>
  </si>
  <si>
    <t>5.1</t>
  </si>
  <si>
    <t>2019 m. vasario 28 d. sprendimo Nr. T2-42</t>
  </si>
  <si>
    <t>JURBARKO RAJONO SAVIVALDYBĖS 2019 METŲ BIUDŽETAS</t>
  </si>
  <si>
    <r>
      <t xml:space="preserve">Mokymo reikmių lėšos/ </t>
    </r>
    <r>
      <rPr>
        <b/>
        <sz val="10"/>
        <color indexed="10"/>
        <rFont val="Times New Roman"/>
        <family val="1"/>
      </rPr>
      <t>kelių priežiūros ir plėtros programos lėšos</t>
    </r>
  </si>
  <si>
    <t>jaunimo teisių apsaugai</t>
  </si>
  <si>
    <t>tarpinstitucinio bendradarbiavimo koordinatoriaus pareigybei išlaikyti</t>
  </si>
  <si>
    <t>2.24.</t>
  </si>
  <si>
    <t>6.6.</t>
  </si>
  <si>
    <t>projektui „Savivaldybes jungiančių turizmo trasų ir turizmo maršrutų infrastruktūros plėtra Jurbarko regione“ finansuoti</t>
  </si>
  <si>
    <t>6.7.</t>
  </si>
  <si>
    <t>projektui „Nemuno kelias“ finansuoti</t>
  </si>
  <si>
    <t>investicijoms į šilumos ūkio modernizavimą Viešvilėje grąžinti (2019 m. dalis)</t>
  </si>
  <si>
    <t>Jurbarko A. Giedraičio-Giedriaus ir Nemuno gatvėms rekonstruoti būtinoms, bet projekto nekompensuojamoms išlaidoms dengti</t>
  </si>
  <si>
    <t>sanitarinėms patalpoms įrengti viešosiose vietose</t>
  </si>
  <si>
    <t>7.16.</t>
  </si>
  <si>
    <t>projektui „A. Giedraičio-Giedriaus gatvės rekonstravimas Jurbarko mieste“ finansuoti</t>
  </si>
  <si>
    <t>7.17.</t>
  </si>
  <si>
    <t>7.18.</t>
  </si>
  <si>
    <t>7.19.</t>
  </si>
  <si>
    <t>7.20.</t>
  </si>
  <si>
    <t>vietinėms reikšmės keliams (gatvėms) tiesti, rekons-truoti, taisyti (remontuoti), prižiūrėti ir saugaus eismo sąlygoms užtikrinti pagal savivaldybės Tarybos 2019-04-25 sprendimą Nr.T2-138 ir tikslinis finansavimas</t>
  </si>
  <si>
    <t>7.21.</t>
  </si>
  <si>
    <t>dotacija tekstilės atliekų surinkimo priemonėms (konteineriams) įsigyti</t>
  </si>
  <si>
    <t>7.22.</t>
  </si>
  <si>
    <t>dotacija pakuočių atliekų surinkimo priemonėms (konteineriams) įsigyti</t>
  </si>
  <si>
    <t>Jurbarko miesto seniūnijai</t>
  </si>
  <si>
    <t>pacientų aptarnavimo kokybei gerinti VšĮ Jurbarko ligoninėje (medicininei aparatūrai, vaikų ligų skyriui iš dalies finansuoti, lauko ir vidaus vandentiekio tinklams remontuoti)</t>
  </si>
  <si>
    <t>teismo medicinos ekspertizės patalpoms remontuoti (dalinis finansavimas)</t>
  </si>
  <si>
    <t>11.5.</t>
  </si>
  <si>
    <t>11.6.</t>
  </si>
  <si>
    <t>13.3.</t>
  </si>
  <si>
    <t>savižudybių prevencinėms programoms</t>
  </si>
  <si>
    <t>21.1.</t>
  </si>
  <si>
    <t>21.2.</t>
  </si>
  <si>
    <t>suaugusiųjų ir jaunimo sportui aktyvinti, iš jų prioritetas – Jurbarko krepšinio komandos dalyvavimas regionų krepšinio lygoje (6000 Eur)</t>
  </si>
  <si>
    <t>21.3.</t>
  </si>
  <si>
    <t>22.1.</t>
  </si>
  <si>
    <t>22.2.</t>
  </si>
  <si>
    <t>22.3.</t>
  </si>
  <si>
    <t>22.4.</t>
  </si>
  <si>
    <t>22.5.</t>
  </si>
  <si>
    <t>religinėms bendruomenėms remti, iš jų: 20000 Eur Jurbarko evangelikų liuteronų parapijai (vargonams)</t>
  </si>
  <si>
    <t>22.6.</t>
  </si>
  <si>
    <t>22.7.</t>
  </si>
  <si>
    <t>22.8.</t>
  </si>
  <si>
    <t>savivaldybės biudžete nenumatytoms išlaidoms finansuoti</t>
  </si>
  <si>
    <t>22.9.</t>
  </si>
  <si>
    <t>sporto klubų veiklos programoms iš dalies finansuoti</t>
  </si>
  <si>
    <t>22.10.</t>
  </si>
  <si>
    <t>aukštų rezultatų pasiekusiems sportininkams, treneriams skatinti</t>
  </si>
  <si>
    <t>22.11.</t>
  </si>
  <si>
    <t>aukštų rezultatų pasiekusiems kultūros darbuotojams, kolektyvams skatinti</t>
  </si>
  <si>
    <t>22.12.</t>
  </si>
  <si>
    <t>projektui „Mažosios Lietuvos Jurbarko krašto kultūros centro aktualizavimas“ finansuoti</t>
  </si>
  <si>
    <t>Jurbarko Naujamiesčio progimnazijai</t>
  </si>
  <si>
    <t>Jurbarko Vytauto Didžiojo progimnazijai</t>
  </si>
  <si>
    <t>31.1.</t>
  </si>
  <si>
    <t>31.2.</t>
  </si>
  <si>
    <t>36.1.</t>
  </si>
  <si>
    <t>36.2.</t>
  </si>
  <si>
    <t>41.1.</t>
  </si>
  <si>
    <t>41.2.</t>
  </si>
  <si>
    <t>41.3.</t>
  </si>
  <si>
    <t>41.4.</t>
  </si>
  <si>
    <t>41.5.</t>
  </si>
  <si>
    <t>41.6.</t>
  </si>
  <si>
    <t>projektui „Ikimokyklinio ir priešmokyklinio ugdymo patalpų įrengimas Eržvilko gimnazijoje“ finansuoti</t>
  </si>
  <si>
    <t>41.7.</t>
  </si>
  <si>
    <t>projektui „Ikimokyklinio ir priešmokyklinio ugdymo prieinamumo didinimas Rotulių lopšelyje-darželyje“ finansuoti</t>
  </si>
  <si>
    <t>41.8.</t>
  </si>
  <si>
    <t>projektui „Jurbarko Antano Sodeikos meno mokyklos atnaujinimas ir pritaikymas neformaliajam ugdymui“ finansuoti</t>
  </si>
  <si>
    <t>41.9.</t>
  </si>
  <si>
    <t>nepaskirstytos mokymo lėšos</t>
  </si>
  <si>
    <t>42.1.</t>
  </si>
  <si>
    <t>42.2.</t>
  </si>
  <si>
    <t>42.3.</t>
  </si>
  <si>
    <t>42.4.</t>
  </si>
  <si>
    <t>42.5.</t>
  </si>
  <si>
    <t>42.6.</t>
  </si>
  <si>
    <t>42.7.</t>
  </si>
  <si>
    <t>43.7.</t>
  </si>
  <si>
    <t>43.8.</t>
  </si>
  <si>
    <t>43.9.</t>
  </si>
  <si>
    <t>43.10.</t>
  </si>
  <si>
    <t>atvejo vadybai, seniūnijų socialiniams darbuotojams darbui su šeimomis, patiriančiomis riziką,  išlaikyti</t>
  </si>
  <si>
    <t>43.11.</t>
  </si>
  <si>
    <t>pagal teisės aktus savivaldybėms perduotoms įstaigoms išlaikyti</t>
  </si>
  <si>
    <t>43.12.</t>
  </si>
  <si>
    <t>43.13.</t>
  </si>
  <si>
    <t>aprūpinti nepasiturinčius rajono gyventojus maisto produktais ir higienos prekėmis iš ES pagalbos labiausiai skurstantiems asmenims fondo</t>
  </si>
  <si>
    <t>43,14.</t>
  </si>
  <si>
    <t>43.15.</t>
  </si>
  <si>
    <t>43.16.</t>
  </si>
  <si>
    <t>43.17.</t>
  </si>
  <si>
    <t>43.18.</t>
  </si>
  <si>
    <t>43.19.</t>
  </si>
  <si>
    <t>43.20.</t>
  </si>
  <si>
    <t>43.21.</t>
  </si>
  <si>
    <t>43.22.</t>
  </si>
  <si>
    <t>43.23.</t>
  </si>
  <si>
    <t>43.24.</t>
  </si>
  <si>
    <t>43.25.</t>
  </si>
  <si>
    <t>Dienos socialinės globos paslaugoms asmenims su proto negalia (VšĮ „Jurbarko socialinės paslaugos“)</t>
  </si>
  <si>
    <t>43.26.</t>
  </si>
  <si>
    <t>ilgalaikės socialinės globos paslaugoms asmenims su proto negalia (VšĮ „Jurbarko socialinės paslaugos“)</t>
  </si>
  <si>
    <t>43.27.</t>
  </si>
  <si>
    <t>43.28.</t>
  </si>
  <si>
    <t>43.29.</t>
  </si>
  <si>
    <t>43.30.</t>
  </si>
  <si>
    <t>43.31.</t>
  </si>
  <si>
    <t>43.32.</t>
  </si>
  <si>
    <t>vaikų Dienos centrų paslaugoms (Lietuvos samariečių Jurbarko krašto bendrija ir evangelikų liuteronų diakonija „Jurbarko sandora“)</t>
  </si>
  <si>
    <t>43.33</t>
  </si>
  <si>
    <t>projektui „Socialinių paslaugų įstaigos modernizavimas ir paslaugų plėtra Jurbarko rajone“ finansuoti</t>
  </si>
  <si>
    <t>43.34</t>
  </si>
  <si>
    <t>projektui „Kompleksinės paslaugos šeimai Jurbarko rajono savivaldybėje“ finansuoti</t>
  </si>
  <si>
    <t>43.35.</t>
  </si>
  <si>
    <t>Skalvijos namams</t>
  </si>
  <si>
    <t>46.1.</t>
  </si>
  <si>
    <t>(2019 m. gegužės 30 d. sprendimo Nr. T2-   redakcija)</t>
  </si>
  <si>
    <t xml:space="preserve">                                     2019 m. vasario 28 d. sprendimo Nr. T2-42</t>
  </si>
  <si>
    <t xml:space="preserve">                                                                   (2019 m. gegužės 30 d. sprendimo Nr. T2-</t>
  </si>
  <si>
    <t>Jurbarko rajono savivaldybės administracijai</t>
  </si>
  <si>
    <t>1.10.</t>
  </si>
  <si>
    <t>1.11.</t>
  </si>
  <si>
    <t>1.12.</t>
  </si>
  <si>
    <t>Erdvinių duomenų rinkinio tvarkymas</t>
  </si>
  <si>
    <t>1.13.</t>
  </si>
  <si>
    <t>1.14.</t>
  </si>
  <si>
    <t>1.15.</t>
  </si>
  <si>
    <t>1.16.</t>
  </si>
  <si>
    <t>Užimtumo didinimo programomų įgyvendinimas</t>
  </si>
  <si>
    <t>1.17.</t>
  </si>
  <si>
    <t>1.18.</t>
  </si>
  <si>
    <t>1.19.</t>
  </si>
  <si>
    <t>Neveiksnių asmenų būklės peržiūrėjimo vykdymas</t>
  </si>
  <si>
    <t>Savižudybių prevencinių programų vykdymas</t>
  </si>
  <si>
    <t xml:space="preserve">                                      2019 m. vasario 28 d. sprendimo Nr. T2-42</t>
  </si>
  <si>
    <t xml:space="preserve">    iš jų: kredito linijos lėšos</t>
  </si>
  <si>
    <t xml:space="preserve">    Dariaus  ir Girėno gatvės Jurbarke apšvietimo infrastruktūros modernizavimo projektas</t>
  </si>
  <si>
    <t xml:space="preserve">    Jurbarko autobusų stoties modernizavimo projektas</t>
  </si>
  <si>
    <t>_______________________</t>
  </si>
  <si>
    <t xml:space="preserve">   iš jų: Jurbarko r. Eržvilko gimnazijos pastato dalies stogo kapitalinio remonto projektas</t>
  </si>
  <si>
    <t>projektui „Vandens gerinimo įrenginių ir vandens gręžinių įrengimas Paskynų, Graužėnų ir Klangių kaimuose“ finansuoti</t>
  </si>
  <si>
    <t>projektui „Vandens gerinimo įrenginių ir vandens gręžinių įrengimas Griaužų kaime ir vandens tiekimo tinklų įrengimas Stakių miestelyje“ finansuoti</t>
  </si>
  <si>
    <t>projektui „Vandens gerinimo įrenginių ir vandens gręžinių įrengimas Belvederio, Pieštvėnų ir Tamošių kaimuose“ finansuoti</t>
  </si>
  <si>
    <t>Pagal teisės aktus perduotų įstaigų išlaikymas</t>
  </si>
  <si>
    <t>Tikslinės lėšos tarpinstitucinio bendradarbiavimo koordinatoriaus pareigybei išlaikyti</t>
  </si>
  <si>
    <t xml:space="preserve">            6 priedas</t>
  </si>
  <si>
    <t>DALIES SAVIVALDYBĖS BIUDŽETO LĖŠŲ LIKUČIO 2018 M. GRUODŽIO 31 D.</t>
  </si>
  <si>
    <t>PASKIRSTYMAS</t>
  </si>
  <si>
    <t>Įsiskolinimo pavadinimas</t>
  </si>
  <si>
    <t>Trumpalaikiams įsiskolinimams dengti, iš jų:</t>
  </si>
  <si>
    <t>Socialinio draudimo įmokoms</t>
  </si>
  <si>
    <t>Mitybai</t>
  </si>
  <si>
    <t>Ryšių paslaugoms</t>
  </si>
  <si>
    <t>Transportui išlaikyti</t>
  </si>
  <si>
    <t>Miestų ir gyvenviečių viešajam ūkiui</t>
  </si>
  <si>
    <t>Materialiojo ir nematerialiojo turto nuomai</t>
  </si>
  <si>
    <t>Komunalinėms paslaugoms, iš jų:</t>
  </si>
  <si>
    <t>1.7.1.</t>
  </si>
  <si>
    <t xml:space="preserve">   šildymui </t>
  </si>
  <si>
    <t>1.7.2.</t>
  </si>
  <si>
    <t xml:space="preserve">   elektros energijai</t>
  </si>
  <si>
    <t>1.7.3.</t>
  </si>
  <si>
    <t xml:space="preserve">   vandentiekiui ir kanalizacijai</t>
  </si>
  <si>
    <t>Informacinių technologijų prekėms ir paslaugoms įsigyti</t>
  </si>
  <si>
    <t>Kitų prekių ir paslaugų įsigijimo išlaidoms</t>
  </si>
  <si>
    <t>Subsidijoms</t>
  </si>
  <si>
    <t>Socialinei paramai pinigais</t>
  </si>
  <si>
    <t>Ilgalaikiams įsiskolinimams – Jurbarko rajono savivaldybės administracijos skolintoms iš bankų lėšoms grąžinti</t>
  </si>
  <si>
    <t>Savivaldybės biudžeto reikmėms finansuoti (socialinės paramos išmokoms)</t>
  </si>
  <si>
    <t>Savivaldybės biudžeto reikmėms finansuoti (viešojo naudojimo teritorijų tvarkymo darbams Jurbarko miesto seniūnijoje)</t>
  </si>
  <si>
    <t>Projekto, numatančio privačių namų prijungimą prie nuotekų surinkimo infrastruktūros, bendrajam finansavimui</t>
  </si>
  <si>
    <t>Europos Sąjungos finansinės paramos lėšos projektų bendrajam finansavimui vykdyti</t>
  </si>
  <si>
    <t>Aplinkos apsaugos rėmimo specialiajai programai finansuoti</t>
  </si>
  <si>
    <t>Savivaldybės biudžeto reikmėms finansuoti (projektų paraiškoms rengti, konsultavimo ir projektų ekspertizių paslaugoms, nekompensuojamoms, bet būtinoms projektų išlaidoms finansuoti, bendrojo finansavimo lėšoms)</t>
  </si>
  <si>
    <t>___________________________</t>
  </si>
  <si>
    <t xml:space="preserve">    iš jų: vandens tiekimo ir nuotekų tvarkymo infrastruktūros plėtros, vandens gerinimo įrenginių ir vandens gręžinių įrengimas kaimo vietovėse projektai</t>
  </si>
  <si>
    <t>Kultūros ir sporto veiklų plėtros programa</t>
  </si>
  <si>
    <t xml:space="preserve">   iš jų: Jurbarko kultūros centro modernizavimo ir pritaikymo bendruomenės poreikiams projektas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</si>
</sst>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[$-427]yyyy\ &quot;m.&quot;\ mmmm\ d\ &quot;d.&quot;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.8"/>
      <name val="Times New Roman"/>
      <family val="1"/>
    </font>
    <font>
      <sz val="11.5"/>
      <name val="Times New Roman"/>
      <family val="1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4" applyNumberFormat="0" applyAlignment="0" applyProtection="0"/>
    <xf numFmtId="0" fontId="6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16" fontId="11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right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justify" vertical="top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top" wrapText="1"/>
    </xf>
    <xf numFmtId="1" fontId="7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" fontId="79" fillId="0" borderId="10" xfId="0" applyNumberFormat="1" applyFont="1" applyBorder="1" applyAlignment="1">
      <alignment horizontal="right"/>
    </xf>
    <xf numFmtId="0" fontId="74" fillId="0" borderId="10" xfId="0" applyFont="1" applyBorder="1" applyAlignment="1">
      <alignment wrapText="1"/>
    </xf>
    <xf numFmtId="0" fontId="75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6" fontId="80" fillId="0" borderId="10" xfId="0" applyNumberFormat="1" applyFont="1" applyBorder="1" applyAlignment="1">
      <alignment horizontal="right"/>
    </xf>
    <xf numFmtId="0" fontId="74" fillId="0" borderId="15" xfId="0" applyFont="1" applyBorder="1" applyAlignment="1">
      <alignment wrapText="1"/>
    </xf>
    <xf numFmtId="0" fontId="77" fillId="0" borderId="13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right"/>
    </xf>
    <xf numFmtId="0" fontId="79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75" fillId="0" borderId="0" xfId="0" applyFont="1" applyAlignment="1">
      <alignment wrapText="1"/>
    </xf>
    <xf numFmtId="0" fontId="80" fillId="0" borderId="10" xfId="0" applyFont="1" applyBorder="1" applyAlignment="1">
      <alignment horizontal="right" wrapText="1"/>
    </xf>
    <xf numFmtId="0" fontId="77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8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left" wrapText="1"/>
    </xf>
    <xf numFmtId="0" fontId="82" fillId="0" borderId="10" xfId="0" applyFont="1" applyBorder="1" applyAlignment="1">
      <alignment horizontal="right" wrapText="1"/>
    </xf>
    <xf numFmtId="0" fontId="74" fillId="0" borderId="16" xfId="0" applyFont="1" applyBorder="1" applyAlignment="1">
      <alignment horizontal="left" wrapText="1"/>
    </xf>
    <xf numFmtId="0" fontId="83" fillId="0" borderId="0" xfId="0" applyFont="1" applyAlignment="1">
      <alignment/>
    </xf>
    <xf numFmtId="0" fontId="6" fillId="0" borderId="10" xfId="0" applyFont="1" applyBorder="1" applyAlignment="1">
      <alignment/>
    </xf>
    <xf numFmtId="0" fontId="77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74" fillId="0" borderId="0" xfId="0" applyFont="1" applyAlignment="1">
      <alignment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right"/>
    </xf>
    <xf numFmtId="0" fontId="78" fillId="0" borderId="0" xfId="0" applyFont="1" applyAlignment="1">
      <alignment wrapText="1"/>
    </xf>
    <xf numFmtId="0" fontId="72" fillId="0" borderId="17" xfId="0" applyFont="1" applyBorder="1" applyAlignment="1">
      <alignment/>
    </xf>
    <xf numFmtId="0" fontId="76" fillId="0" borderId="17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74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9" fillId="0" borderId="14" xfId="0" applyFont="1" applyBorder="1" applyAlignment="1">
      <alignment horizontal="right" vertical="center" wrapText="1"/>
    </xf>
    <xf numFmtId="0" fontId="75" fillId="0" borderId="14" xfId="0" applyFont="1" applyBorder="1" applyAlignment="1">
      <alignment horizontal="right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wrapText="1"/>
    </xf>
    <xf numFmtId="0" fontId="75" fillId="0" borderId="1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80" fillId="0" borderId="0" xfId="0" applyFont="1" applyAlignment="1">
      <alignment/>
    </xf>
    <xf numFmtId="0" fontId="75" fillId="0" borderId="12" xfId="0" applyFont="1" applyBorder="1" applyAlignment="1">
      <alignment horizontal="right" vertical="center" wrapText="1"/>
    </xf>
    <xf numFmtId="0" fontId="75" fillId="0" borderId="12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6.00390625" style="21" customWidth="1"/>
    <col min="2" max="2" width="73.8515625" style="0" customWidth="1"/>
    <col min="3" max="3" width="13.8515625" style="0" customWidth="1"/>
    <col min="4" max="4" width="2.7109375" style="0" customWidth="1"/>
  </cols>
  <sheetData>
    <row r="1" spans="1:3" ht="15.75">
      <c r="A1" s="75"/>
      <c r="B1" s="190" t="s">
        <v>304</v>
      </c>
      <c r="C1" s="190"/>
    </row>
    <row r="2" spans="1:3" ht="15.75">
      <c r="A2" s="75"/>
      <c r="B2" s="190" t="s">
        <v>436</v>
      </c>
      <c r="C2" s="190"/>
    </row>
    <row r="3" spans="1:3" s="17" customFormat="1" ht="15.75">
      <c r="A3" s="76"/>
      <c r="B3" s="19" t="s">
        <v>437</v>
      </c>
      <c r="C3" s="19"/>
    </row>
    <row r="4" spans="1:3" s="17" customFormat="1" ht="15.75">
      <c r="A4" s="76"/>
      <c r="B4" s="19" t="s">
        <v>305</v>
      </c>
      <c r="C4" s="19"/>
    </row>
    <row r="5" spans="1:3" ht="15.75">
      <c r="A5" s="75"/>
      <c r="B5" s="19" t="s">
        <v>306</v>
      </c>
      <c r="C5" s="20"/>
    </row>
    <row r="6" spans="1:3" ht="15.75">
      <c r="A6" s="75"/>
      <c r="B6" s="20"/>
      <c r="C6" s="20"/>
    </row>
    <row r="7" spans="1:3" ht="14.25">
      <c r="A7" s="75"/>
      <c r="B7" s="77"/>
      <c r="C7" s="77"/>
    </row>
    <row r="8" spans="1:3" ht="15.75">
      <c r="A8" s="191" t="s">
        <v>438</v>
      </c>
      <c r="B8" s="191"/>
      <c r="C8" s="191"/>
    </row>
    <row r="9" ht="9" customHeight="1"/>
    <row r="10" spans="1:3" ht="28.5" customHeight="1">
      <c r="A10" s="22" t="s">
        <v>54</v>
      </c>
      <c r="B10" s="22" t="s">
        <v>55</v>
      </c>
      <c r="C10" s="22" t="s">
        <v>307</v>
      </c>
    </row>
    <row r="11" spans="1:3" s="17" customFormat="1" ht="33" customHeight="1">
      <c r="A11" s="22" t="s">
        <v>67</v>
      </c>
      <c r="B11" s="33" t="s">
        <v>439</v>
      </c>
      <c r="C11" s="34">
        <f>SUM(C12:C20)</f>
        <v>15136000</v>
      </c>
    </row>
    <row r="12" spans="1:3" s="78" customFormat="1" ht="17.25" customHeight="1">
      <c r="A12" s="35" t="s">
        <v>308</v>
      </c>
      <c r="B12" s="36" t="s">
        <v>309</v>
      </c>
      <c r="C12" s="37">
        <f>5923000+2334000+4140000+1987000</f>
        <v>14384000</v>
      </c>
    </row>
    <row r="13" spans="1:3" s="17" customFormat="1" ht="17.25" customHeight="1">
      <c r="A13" s="35" t="s">
        <v>310</v>
      </c>
      <c r="B13" s="36" t="s">
        <v>311</v>
      </c>
      <c r="C13" s="37">
        <v>350000</v>
      </c>
    </row>
    <row r="14" spans="1:3" s="17" customFormat="1" ht="17.25" customHeight="1">
      <c r="A14" s="35" t="s">
        <v>312</v>
      </c>
      <c r="B14" s="36" t="s">
        <v>313</v>
      </c>
      <c r="C14" s="37">
        <v>197000</v>
      </c>
    </row>
    <row r="15" spans="1:3" s="17" customFormat="1" ht="17.25" customHeight="1">
      <c r="A15" s="35" t="s">
        <v>314</v>
      </c>
      <c r="B15" s="36" t="s">
        <v>395</v>
      </c>
      <c r="C15" s="37">
        <v>18000</v>
      </c>
    </row>
    <row r="16" spans="1:3" s="17" customFormat="1" ht="17.25" customHeight="1">
      <c r="A16" s="35" t="s">
        <v>315</v>
      </c>
      <c r="B16" s="36" t="s">
        <v>316</v>
      </c>
      <c r="C16" s="37">
        <v>30000</v>
      </c>
    </row>
    <row r="17" spans="1:3" s="17" customFormat="1" ht="30" customHeight="1">
      <c r="A17" s="35" t="s">
        <v>317</v>
      </c>
      <c r="B17" s="36" t="s">
        <v>318</v>
      </c>
      <c r="C17" s="37">
        <v>100000</v>
      </c>
    </row>
    <row r="18" spans="1:3" s="17" customFormat="1" ht="17.25" customHeight="1">
      <c r="A18" s="35" t="s">
        <v>319</v>
      </c>
      <c r="B18" s="36" t="s">
        <v>320</v>
      </c>
      <c r="C18" s="38">
        <v>35000</v>
      </c>
    </row>
    <row r="19" spans="1:3" s="17" customFormat="1" ht="17.25" customHeight="1">
      <c r="A19" s="35" t="s">
        <v>321</v>
      </c>
      <c r="B19" s="39" t="s">
        <v>396</v>
      </c>
      <c r="C19" s="40">
        <v>17000</v>
      </c>
    </row>
    <row r="20" spans="1:3" s="17" customFormat="1" ht="17.25" customHeight="1">
      <c r="A20" s="35" t="s">
        <v>322</v>
      </c>
      <c r="B20" s="36" t="s">
        <v>323</v>
      </c>
      <c r="C20" s="37">
        <v>5000</v>
      </c>
    </row>
    <row r="21" spans="1:3" s="17" customFormat="1" ht="17.25" customHeight="1">
      <c r="A21" s="22" t="s">
        <v>66</v>
      </c>
      <c r="B21" s="33" t="s">
        <v>324</v>
      </c>
      <c r="C21" s="34">
        <f>SUM(C22:C30)</f>
        <v>1509101</v>
      </c>
    </row>
    <row r="22" spans="1:3" s="17" customFormat="1" ht="17.25" customHeight="1">
      <c r="A22" s="35" t="s">
        <v>60</v>
      </c>
      <c r="B22" s="36" t="s">
        <v>325</v>
      </c>
      <c r="C22" s="37">
        <v>700000</v>
      </c>
    </row>
    <row r="23" spans="1:3" s="17" customFormat="1" ht="17.25" customHeight="1">
      <c r="A23" s="35" t="s">
        <v>61</v>
      </c>
      <c r="B23" s="36" t="s">
        <v>326</v>
      </c>
      <c r="C23" s="38">
        <v>7000</v>
      </c>
    </row>
    <row r="24" spans="1:3" s="78" customFormat="1" ht="17.25" customHeight="1">
      <c r="A24" s="35" t="s">
        <v>62</v>
      </c>
      <c r="B24" s="36" t="s">
        <v>327</v>
      </c>
      <c r="C24" s="37">
        <v>40000</v>
      </c>
    </row>
    <row r="25" spans="1:3" s="17" customFormat="1" ht="17.25" customHeight="1">
      <c r="A25" s="35" t="s">
        <v>63</v>
      </c>
      <c r="B25" s="36" t="s">
        <v>328</v>
      </c>
      <c r="C25" s="37">
        <v>25000</v>
      </c>
    </row>
    <row r="26" spans="1:3" s="17" customFormat="1" ht="17.25" customHeight="1">
      <c r="A26" s="35" t="s">
        <v>64</v>
      </c>
      <c r="B26" s="36" t="s">
        <v>329</v>
      </c>
      <c r="C26" s="37">
        <v>25000</v>
      </c>
    </row>
    <row r="27" spans="1:3" s="17" customFormat="1" ht="17.25" customHeight="1">
      <c r="A27" s="35" t="s">
        <v>65</v>
      </c>
      <c r="B27" s="36" t="s">
        <v>330</v>
      </c>
      <c r="C27" s="37">
        <v>25000</v>
      </c>
    </row>
    <row r="28" spans="1:3" s="17" customFormat="1" ht="17.25" customHeight="1">
      <c r="A28" s="35" t="s">
        <v>80</v>
      </c>
      <c r="B28" s="36" t="s">
        <v>397</v>
      </c>
      <c r="C28" s="37">
        <f>160351+40000</f>
        <v>200351</v>
      </c>
    </row>
    <row r="29" spans="1:3" s="17" customFormat="1" ht="17.25" customHeight="1">
      <c r="A29" s="35" t="s">
        <v>81</v>
      </c>
      <c r="B29" s="36" t="s">
        <v>398</v>
      </c>
      <c r="C29" s="37">
        <v>103870</v>
      </c>
    </row>
    <row r="30" spans="1:3" s="78" customFormat="1" ht="17.25" customHeight="1">
      <c r="A30" s="35" t="s">
        <v>82</v>
      </c>
      <c r="B30" s="73" t="s">
        <v>331</v>
      </c>
      <c r="C30" s="37">
        <v>382880</v>
      </c>
    </row>
    <row r="31" spans="1:3" s="17" customFormat="1" ht="17.25" customHeight="1">
      <c r="A31" s="22" t="s">
        <v>68</v>
      </c>
      <c r="B31" s="33" t="s">
        <v>399</v>
      </c>
      <c r="C31" s="79">
        <f>SUM(C32:C43)</f>
        <v>11481951</v>
      </c>
    </row>
    <row r="32" spans="1:3" s="78" customFormat="1" ht="17.25" customHeight="1">
      <c r="A32" s="80" t="s">
        <v>85</v>
      </c>
      <c r="B32" s="81" t="s">
        <v>332</v>
      </c>
      <c r="C32" s="82">
        <f>2348419-18300</f>
        <v>2330119</v>
      </c>
    </row>
    <row r="33" spans="1:3" s="17" customFormat="1" ht="17.25" customHeight="1">
      <c r="A33" s="35" t="s">
        <v>333</v>
      </c>
      <c r="B33" s="36" t="s">
        <v>440</v>
      </c>
      <c r="C33" s="37">
        <v>6077900</v>
      </c>
    </row>
    <row r="34" spans="1:3" s="17" customFormat="1" ht="17.25" customHeight="1">
      <c r="A34" s="35" t="s">
        <v>334</v>
      </c>
      <c r="B34" s="36" t="s">
        <v>336</v>
      </c>
      <c r="C34" s="37">
        <v>12800</v>
      </c>
    </row>
    <row r="35" spans="1:3" s="17" customFormat="1" ht="17.25" customHeight="1">
      <c r="A35" s="35" t="s">
        <v>335</v>
      </c>
      <c r="B35" s="36" t="s">
        <v>441</v>
      </c>
      <c r="C35" s="37">
        <v>15900</v>
      </c>
    </row>
    <row r="36" spans="1:3" s="17" customFormat="1" ht="31.5" customHeight="1">
      <c r="A36" s="80" t="s">
        <v>337</v>
      </c>
      <c r="B36" s="81" t="s">
        <v>400</v>
      </c>
      <c r="C36" s="82">
        <f>2223+15925</f>
        <v>18148</v>
      </c>
    </row>
    <row r="37" spans="1:3" s="17" customFormat="1" ht="17.25" customHeight="1">
      <c r="A37" s="35" t="s">
        <v>338</v>
      </c>
      <c r="B37" s="36" t="s">
        <v>442</v>
      </c>
      <c r="C37" s="37">
        <v>522000</v>
      </c>
    </row>
    <row r="38" spans="1:3" s="17" customFormat="1" ht="17.25" customHeight="1">
      <c r="A38" s="35" t="s">
        <v>339</v>
      </c>
      <c r="B38" s="36" t="s">
        <v>443</v>
      </c>
      <c r="C38" s="37">
        <v>200000</v>
      </c>
    </row>
    <row r="39" spans="1:3" s="16" customFormat="1" ht="33" customHeight="1">
      <c r="A39" s="35" t="s">
        <v>340</v>
      </c>
      <c r="B39" s="36" t="s">
        <v>401</v>
      </c>
      <c r="C39" s="37">
        <v>121504</v>
      </c>
    </row>
    <row r="40" spans="1:3" s="16" customFormat="1" ht="17.25" customHeight="1">
      <c r="A40" s="80" t="s">
        <v>444</v>
      </c>
      <c r="B40" s="81" t="s">
        <v>402</v>
      </c>
      <c r="C40" s="82">
        <f>450089+343267</f>
        <v>793356</v>
      </c>
    </row>
    <row r="41" spans="1:3" s="78" customFormat="1" ht="17.25" customHeight="1">
      <c r="A41" s="80" t="s">
        <v>445</v>
      </c>
      <c r="B41" s="81" t="s">
        <v>341</v>
      </c>
      <c r="C41" s="82">
        <f>1273300+62000</f>
        <v>1335300</v>
      </c>
    </row>
    <row r="42" spans="1:3" s="78" customFormat="1" ht="31.5" customHeight="1">
      <c r="A42" s="80" t="s">
        <v>446</v>
      </c>
      <c r="B42" s="81" t="s">
        <v>447</v>
      </c>
      <c r="C42" s="82">
        <f>27950+8228</f>
        <v>36178</v>
      </c>
    </row>
    <row r="43" spans="1:3" s="78" customFormat="1" ht="17.25" customHeight="1">
      <c r="A43" s="80" t="s">
        <v>448</v>
      </c>
      <c r="B43" s="81" t="s">
        <v>603</v>
      </c>
      <c r="C43" s="82">
        <v>18746</v>
      </c>
    </row>
    <row r="44" spans="1:3" s="16" customFormat="1" ht="17.25" customHeight="1">
      <c r="A44" s="22" t="s">
        <v>69</v>
      </c>
      <c r="B44" s="33" t="s">
        <v>342</v>
      </c>
      <c r="C44" s="34">
        <f>740000+100000</f>
        <v>840000</v>
      </c>
    </row>
    <row r="45" spans="1:3" s="16" customFormat="1" ht="17.25" customHeight="1">
      <c r="A45" s="22" t="s">
        <v>70</v>
      </c>
      <c r="B45" s="33" t="s">
        <v>449</v>
      </c>
      <c r="C45" s="79">
        <f>SUM(C46:C51)</f>
        <v>1944048</v>
      </c>
    </row>
    <row r="46" spans="1:3" s="17" customFormat="1" ht="17.25" customHeight="1">
      <c r="A46" s="35" t="s">
        <v>58</v>
      </c>
      <c r="B46" s="36" t="s">
        <v>403</v>
      </c>
      <c r="C46" s="41">
        <v>229722</v>
      </c>
    </row>
    <row r="47" spans="1:3" s="16" customFormat="1" ht="17.25" customHeight="1">
      <c r="A47" s="35" t="s">
        <v>59</v>
      </c>
      <c r="B47" s="36" t="s">
        <v>404</v>
      </c>
      <c r="C47" s="41">
        <v>746200</v>
      </c>
    </row>
    <row r="48" spans="1:3" s="16" customFormat="1" ht="17.25" customHeight="1">
      <c r="A48" s="80" t="s">
        <v>233</v>
      </c>
      <c r="B48" s="81" t="s">
        <v>405</v>
      </c>
      <c r="C48" s="187">
        <f>455878+20000</f>
        <v>475878</v>
      </c>
    </row>
    <row r="49" spans="1:3" s="16" customFormat="1" ht="17.25" customHeight="1">
      <c r="A49" s="35" t="s">
        <v>406</v>
      </c>
      <c r="B49" s="36" t="s">
        <v>450</v>
      </c>
      <c r="C49" s="41">
        <v>12775</v>
      </c>
    </row>
    <row r="50" spans="1:3" s="16" customFormat="1" ht="17.25" customHeight="1">
      <c r="A50" s="35" t="s">
        <v>451</v>
      </c>
      <c r="B50" s="36" t="s">
        <v>402</v>
      </c>
      <c r="C50" s="41">
        <v>452577</v>
      </c>
    </row>
    <row r="51" spans="1:3" s="16" customFormat="1" ht="17.25" customHeight="1">
      <c r="A51" s="35" t="s">
        <v>452</v>
      </c>
      <c r="B51" s="36" t="s">
        <v>407</v>
      </c>
      <c r="C51" s="41">
        <v>26896</v>
      </c>
    </row>
    <row r="52" spans="1:3" s="16" customFormat="1" ht="16.5" customHeight="1">
      <c r="A52" s="22"/>
      <c r="B52" s="33" t="s">
        <v>343</v>
      </c>
      <c r="C52" s="79">
        <f>C11+C21+C31+C44+C45</f>
        <v>30911100</v>
      </c>
    </row>
    <row r="53" spans="1:3" s="16" customFormat="1" ht="16.5" customHeight="1">
      <c r="A53" s="83"/>
      <c r="B53" s="84"/>
      <c r="C53" s="85"/>
    </row>
    <row r="54" ht="14.25">
      <c r="B54" s="18" t="s">
        <v>344</v>
      </c>
    </row>
    <row r="55" ht="14.25">
      <c r="B55" s="23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Zeros="0" zoomScalePageLayoutView="0" workbookViewId="0" topLeftCell="A1">
      <selection activeCell="G25" sqref="G25"/>
    </sheetView>
  </sheetViews>
  <sheetFormatPr defaultColWidth="9.140625" defaultRowHeight="12.75"/>
  <cols>
    <col min="1" max="1" width="6.00390625" style="95" customWidth="1"/>
    <col min="2" max="2" width="71.00390625" style="78" customWidth="1"/>
    <col min="3" max="3" width="15.00390625" style="96" customWidth="1"/>
    <col min="4" max="16384" width="9.140625" style="78" customWidth="1"/>
  </cols>
  <sheetData>
    <row r="1" spans="1:3" s="17" customFormat="1" ht="15.75">
      <c r="A1" s="76"/>
      <c r="B1" s="190" t="s">
        <v>304</v>
      </c>
      <c r="C1" s="190"/>
    </row>
    <row r="2" spans="1:3" s="17" customFormat="1" ht="15.75">
      <c r="A2" s="76"/>
      <c r="B2" s="190" t="s">
        <v>436</v>
      </c>
      <c r="C2" s="190"/>
    </row>
    <row r="3" spans="1:3" s="17" customFormat="1" ht="15.75">
      <c r="A3" s="76"/>
      <c r="B3" s="19" t="s">
        <v>437</v>
      </c>
      <c r="C3" s="19"/>
    </row>
    <row r="4" spans="1:3" s="17" customFormat="1" ht="15.75">
      <c r="A4" s="76"/>
      <c r="B4" s="19" t="s">
        <v>345</v>
      </c>
      <c r="C4" s="19"/>
    </row>
    <row r="5" spans="1:3" s="17" customFormat="1" ht="15.75">
      <c r="A5" s="76"/>
      <c r="B5" s="19" t="s">
        <v>346</v>
      </c>
      <c r="C5" s="24"/>
    </row>
    <row r="6" spans="1:3" s="17" customFormat="1" ht="10.5" customHeight="1">
      <c r="A6" s="76"/>
      <c r="B6" s="20"/>
      <c r="C6" s="24"/>
    </row>
    <row r="7" spans="1:3" s="17" customFormat="1" ht="17.25" customHeight="1">
      <c r="A7" s="76"/>
      <c r="B7" s="77"/>
      <c r="C7" s="86"/>
    </row>
    <row r="8" spans="1:3" s="17" customFormat="1" ht="31.5" customHeight="1">
      <c r="A8" s="192" t="s">
        <v>394</v>
      </c>
      <c r="B8" s="192"/>
      <c r="C8" s="192"/>
    </row>
    <row r="9" spans="1:3" s="17" customFormat="1" ht="18.75" customHeight="1">
      <c r="A9" s="25"/>
      <c r="C9" s="26"/>
    </row>
    <row r="10" spans="1:3" s="17" customFormat="1" ht="28.5" customHeight="1">
      <c r="A10" s="22" t="s">
        <v>54</v>
      </c>
      <c r="B10" s="22" t="s">
        <v>347</v>
      </c>
      <c r="C10" s="22" t="s">
        <v>307</v>
      </c>
    </row>
    <row r="11" spans="1:3" s="17" customFormat="1" ht="15.75">
      <c r="A11" s="22" t="s">
        <v>67</v>
      </c>
      <c r="B11" s="42" t="s">
        <v>348</v>
      </c>
      <c r="C11" s="79">
        <f>SUM(C12:C19)</f>
        <v>30911100</v>
      </c>
    </row>
    <row r="12" spans="1:3" s="17" customFormat="1" ht="15.75">
      <c r="A12" s="80" t="s">
        <v>308</v>
      </c>
      <c r="B12" s="87" t="s">
        <v>349</v>
      </c>
      <c r="C12" s="82">
        <f>4361306+18746+20000+100000</f>
        <v>4500052</v>
      </c>
    </row>
    <row r="13" spans="1:3" s="17" customFormat="1" ht="15.75">
      <c r="A13" s="35" t="s">
        <v>310</v>
      </c>
      <c r="B13" s="43" t="s">
        <v>350</v>
      </c>
      <c r="C13" s="37">
        <v>283700</v>
      </c>
    </row>
    <row r="14" spans="1:3" s="17" customFormat="1" ht="15.75">
      <c r="A14" s="80" t="s">
        <v>312</v>
      </c>
      <c r="B14" s="87" t="s">
        <v>351</v>
      </c>
      <c r="C14" s="82">
        <f>572749+41554</f>
        <v>614303</v>
      </c>
    </row>
    <row r="15" spans="1:3" s="17" customFormat="1" ht="15.75">
      <c r="A15" s="80" t="s">
        <v>314</v>
      </c>
      <c r="B15" s="87" t="s">
        <v>352</v>
      </c>
      <c r="C15" s="82">
        <f>2920753+1273300+27950+8228+15925+6000-90000+62000</f>
        <v>4224156</v>
      </c>
    </row>
    <row r="16" spans="1:3" s="17" customFormat="1" ht="15.75">
      <c r="A16" s="35" t="s">
        <v>315</v>
      </c>
      <c r="B16" s="43" t="s">
        <v>353</v>
      </c>
      <c r="C16" s="37">
        <f>1246890+200000+3000</f>
        <v>1449890</v>
      </c>
    </row>
    <row r="17" spans="1:3" s="17" customFormat="1" ht="15.75">
      <c r="A17" s="80" t="s">
        <v>317</v>
      </c>
      <c r="B17" s="87" t="s">
        <v>354</v>
      </c>
      <c r="C17" s="82">
        <f>3042517+42480+50000</f>
        <v>3134997</v>
      </c>
    </row>
    <row r="18" spans="1:3" s="17" customFormat="1" ht="15.75">
      <c r="A18" s="80" t="s">
        <v>319</v>
      </c>
      <c r="B18" s="87" t="s">
        <v>355</v>
      </c>
      <c r="C18" s="82">
        <f>11968551+85305+83252+3058+40000</f>
        <v>12180166</v>
      </c>
    </row>
    <row r="19" spans="1:3" s="17" customFormat="1" ht="15.75" customHeight="1">
      <c r="A19" s="80" t="s">
        <v>321</v>
      </c>
      <c r="B19" s="87" t="s">
        <v>453</v>
      </c>
      <c r="C19" s="82">
        <f>4460518-18300+23807+20982+36829</f>
        <v>4523836</v>
      </c>
    </row>
    <row r="20" spans="1:3" s="17" customFormat="1" ht="15.75">
      <c r="A20" s="22" t="s">
        <v>66</v>
      </c>
      <c r="B20" s="33" t="s">
        <v>356</v>
      </c>
      <c r="C20" s="34">
        <f>16614800+20000</f>
        <v>16634800</v>
      </c>
    </row>
    <row r="21" spans="1:3" ht="15.75">
      <c r="A21" s="80" t="s">
        <v>60</v>
      </c>
      <c r="B21" s="81" t="s">
        <v>357</v>
      </c>
      <c r="C21" s="82">
        <f>C20-C23-C24</f>
        <v>15322875</v>
      </c>
    </row>
    <row r="22" spans="1:3" s="17" customFormat="1" ht="15.75">
      <c r="A22" s="35" t="s">
        <v>61</v>
      </c>
      <c r="B22" s="36" t="s">
        <v>358</v>
      </c>
      <c r="C22" s="37">
        <f>8678375</f>
        <v>8678375</v>
      </c>
    </row>
    <row r="23" spans="1:3" ht="15.75">
      <c r="A23" s="80" t="s">
        <v>62</v>
      </c>
      <c r="B23" s="81" t="s">
        <v>24</v>
      </c>
      <c r="C23" s="82">
        <f>466725+79000+20000</f>
        <v>565725</v>
      </c>
    </row>
    <row r="24" spans="1:3" s="17" customFormat="1" ht="15.75">
      <c r="A24" s="35" t="s">
        <v>63</v>
      </c>
      <c r="B24" s="36" t="s">
        <v>286</v>
      </c>
      <c r="C24" s="37">
        <v>746200</v>
      </c>
    </row>
    <row r="25" spans="1:3" s="17" customFormat="1" ht="31.5">
      <c r="A25" s="22" t="s">
        <v>68</v>
      </c>
      <c r="B25" s="33" t="s">
        <v>359</v>
      </c>
      <c r="C25" s="79">
        <f>2348419-18300</f>
        <v>2330119</v>
      </c>
    </row>
    <row r="26" spans="1:3" ht="15.75">
      <c r="A26" s="80" t="s">
        <v>85</v>
      </c>
      <c r="B26" s="81" t="s">
        <v>357</v>
      </c>
      <c r="C26" s="82">
        <f>C25</f>
        <v>2330119</v>
      </c>
    </row>
    <row r="27" spans="1:3" ht="15.75">
      <c r="A27" s="35" t="s">
        <v>333</v>
      </c>
      <c r="B27" s="36" t="s">
        <v>358</v>
      </c>
      <c r="C27" s="37">
        <v>1054868</v>
      </c>
    </row>
    <row r="28" spans="1:3" s="17" customFormat="1" ht="15.75" customHeight="1">
      <c r="A28" s="22" t="s">
        <v>69</v>
      </c>
      <c r="B28" s="33" t="s">
        <v>454</v>
      </c>
      <c r="C28" s="34">
        <v>6077900</v>
      </c>
    </row>
    <row r="29" spans="1:3" s="17" customFormat="1" ht="15.75">
      <c r="A29" s="35" t="s">
        <v>56</v>
      </c>
      <c r="B29" s="36" t="s">
        <v>357</v>
      </c>
      <c r="C29" s="37">
        <f>C28-C31</f>
        <v>6065891</v>
      </c>
    </row>
    <row r="30" spans="1:3" s="17" customFormat="1" ht="15.75">
      <c r="A30" s="35" t="s">
        <v>57</v>
      </c>
      <c r="B30" s="36" t="s">
        <v>358</v>
      </c>
      <c r="C30" s="37">
        <v>5843430</v>
      </c>
    </row>
    <row r="31" spans="1:3" s="17" customFormat="1" ht="15.75">
      <c r="A31" s="35" t="s">
        <v>190</v>
      </c>
      <c r="B31" s="36" t="s">
        <v>24</v>
      </c>
      <c r="C31" s="37">
        <v>12009</v>
      </c>
    </row>
    <row r="32" spans="1:3" s="17" customFormat="1" ht="17.25" customHeight="1">
      <c r="A32" s="22" t="s">
        <v>70</v>
      </c>
      <c r="B32" s="33" t="s">
        <v>455</v>
      </c>
      <c r="C32" s="34">
        <f>C33+C34</f>
        <v>840000</v>
      </c>
    </row>
    <row r="33" spans="1:3" s="17" customFormat="1" ht="17.25" customHeight="1">
      <c r="A33" s="35" t="s">
        <v>456</v>
      </c>
      <c r="B33" s="36" t="s">
        <v>357</v>
      </c>
      <c r="C33" s="37">
        <v>185000</v>
      </c>
    </row>
    <row r="34" spans="1:3" s="17" customFormat="1" ht="15.75">
      <c r="A34" s="35" t="s">
        <v>59</v>
      </c>
      <c r="B34" s="36" t="s">
        <v>24</v>
      </c>
      <c r="C34" s="37">
        <v>655000</v>
      </c>
    </row>
    <row r="35" spans="1:3" s="88" customFormat="1" ht="32.25" customHeight="1">
      <c r="A35" s="22" t="s">
        <v>71</v>
      </c>
      <c r="B35" s="33" t="s">
        <v>408</v>
      </c>
      <c r="C35" s="79">
        <f>1789868+27950+8228+15925+18746+343267</f>
        <v>2203984</v>
      </c>
    </row>
    <row r="36" spans="1:3" ht="15.75">
      <c r="A36" s="80" t="s">
        <v>86</v>
      </c>
      <c r="B36" s="81" t="s">
        <v>357</v>
      </c>
      <c r="C36" s="82">
        <f>C35-C38</f>
        <v>264676</v>
      </c>
    </row>
    <row r="37" spans="1:3" s="17" customFormat="1" ht="15.75">
      <c r="A37" s="80" t="s">
        <v>262</v>
      </c>
      <c r="B37" s="81" t="s">
        <v>358</v>
      </c>
      <c r="C37" s="82">
        <f>15675+18478</f>
        <v>34153</v>
      </c>
    </row>
    <row r="38" spans="1:3" s="17" customFormat="1" ht="15.75" customHeight="1">
      <c r="A38" s="80" t="s">
        <v>270</v>
      </c>
      <c r="B38" s="81" t="s">
        <v>24</v>
      </c>
      <c r="C38" s="82">
        <f>1564920+27950+8228+15925+343267-20982</f>
        <v>1939308</v>
      </c>
    </row>
    <row r="39" spans="1:3" s="17" customFormat="1" ht="31.5" customHeight="1">
      <c r="A39" s="22" t="s">
        <v>72</v>
      </c>
      <c r="B39" s="33" t="s">
        <v>360</v>
      </c>
      <c r="C39" s="34">
        <v>1488997</v>
      </c>
    </row>
    <row r="40" spans="1:3" s="17" customFormat="1" ht="15.75">
      <c r="A40" s="35" t="s">
        <v>87</v>
      </c>
      <c r="B40" s="36" t="s">
        <v>357</v>
      </c>
      <c r="C40" s="37">
        <f>C39-C42</f>
        <v>1482097</v>
      </c>
    </row>
    <row r="41" spans="1:3" ht="15.75">
      <c r="A41" s="35" t="s">
        <v>88</v>
      </c>
      <c r="B41" s="36" t="s">
        <v>358</v>
      </c>
      <c r="C41" s="37">
        <v>70000</v>
      </c>
    </row>
    <row r="42" spans="1:3" s="16" customFormat="1" ht="15.75">
      <c r="A42" s="35" t="s">
        <v>89</v>
      </c>
      <c r="B42" s="36" t="s">
        <v>24</v>
      </c>
      <c r="C42" s="37">
        <v>6900</v>
      </c>
    </row>
    <row r="43" spans="1:3" s="16" customFormat="1" ht="15.75">
      <c r="A43" s="89" t="s">
        <v>73</v>
      </c>
      <c r="B43" s="90" t="s">
        <v>361</v>
      </c>
      <c r="C43" s="79">
        <f>SUM(C44:C45)</f>
        <v>1335300</v>
      </c>
    </row>
    <row r="44" spans="1:3" s="17" customFormat="1" ht="15.75">
      <c r="A44" s="80" t="s">
        <v>90</v>
      </c>
      <c r="B44" s="81" t="s">
        <v>357</v>
      </c>
      <c r="C44" s="91">
        <v>400000</v>
      </c>
    </row>
    <row r="45" spans="1:3" s="17" customFormat="1" ht="15.75">
      <c r="A45" s="80" t="s">
        <v>91</v>
      </c>
      <c r="B45" s="81" t="s">
        <v>24</v>
      </c>
      <c r="C45" s="82">
        <f>873300+62000</f>
        <v>935300</v>
      </c>
    </row>
    <row r="46" spans="1:3" s="17" customFormat="1" ht="15.75">
      <c r="A46" s="92"/>
      <c r="B46" s="93"/>
      <c r="C46" s="94"/>
    </row>
    <row r="47" ht="4.5" customHeight="1"/>
    <row r="48" ht="14.25">
      <c r="B48" s="18" t="s">
        <v>633</v>
      </c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9"/>
  <sheetViews>
    <sheetView showZeros="0" tabSelected="1" zoomScalePageLayoutView="0" workbookViewId="0" topLeftCell="A1">
      <selection activeCell="I86" sqref="I86"/>
    </sheetView>
  </sheetViews>
  <sheetFormatPr defaultColWidth="9.140625" defaultRowHeight="15" customHeight="1"/>
  <cols>
    <col min="1" max="1" width="4.7109375" style="152" customWidth="1"/>
    <col min="2" max="2" width="44.8515625" style="153" customWidth="1"/>
    <col min="3" max="3" width="10.28125" style="88" customWidth="1"/>
    <col min="4" max="4" width="10.57421875" style="78" customWidth="1"/>
    <col min="5" max="5" width="10.00390625" style="78" customWidth="1"/>
    <col min="6" max="6" width="9.8515625" style="88" customWidth="1"/>
    <col min="7" max="7" width="9.28125" style="78" customWidth="1"/>
    <col min="8" max="8" width="9.8515625" style="78" customWidth="1"/>
    <col min="9" max="10" width="10.00390625" style="88" customWidth="1"/>
    <col min="11" max="11" width="9.8515625" style="78" customWidth="1"/>
    <col min="12" max="12" width="9.00390625" style="88" customWidth="1"/>
    <col min="13" max="13" width="9.00390625" style="78" customWidth="1"/>
    <col min="14" max="14" width="9.7109375" style="78" customWidth="1"/>
    <col min="15" max="15" width="10.7109375" style="78" customWidth="1"/>
    <col min="16" max="16" width="1.28515625" style="78" customWidth="1"/>
    <col min="17" max="16384" width="9.140625" style="78" customWidth="1"/>
  </cols>
  <sheetData>
    <row r="1" spans="1:12" s="2" customFormat="1" ht="11.25" customHeight="1">
      <c r="A1" s="97"/>
      <c r="B1" s="49"/>
      <c r="C1" s="1"/>
      <c r="F1" s="1"/>
      <c r="I1" s="1"/>
      <c r="J1" s="1"/>
      <c r="K1" s="1"/>
      <c r="L1" s="1"/>
    </row>
    <row r="2" spans="1:12" s="2" customFormat="1" ht="15" customHeight="1">
      <c r="A2" s="97"/>
      <c r="B2" s="49"/>
      <c r="C2" s="1"/>
      <c r="F2" s="1"/>
      <c r="I2" s="1"/>
      <c r="J2" s="1"/>
      <c r="K2" s="2" t="s">
        <v>13</v>
      </c>
      <c r="L2" s="1"/>
    </row>
    <row r="3" spans="1:13" s="2" customFormat="1" ht="15" customHeight="1">
      <c r="A3" s="97"/>
      <c r="B3" s="49"/>
      <c r="C3" s="1"/>
      <c r="D3" s="1"/>
      <c r="F3" s="1"/>
      <c r="G3" s="1"/>
      <c r="I3" s="1"/>
      <c r="J3" s="1"/>
      <c r="K3" s="2" t="s">
        <v>457</v>
      </c>
      <c r="L3" s="1"/>
      <c r="M3" s="1"/>
    </row>
    <row r="4" spans="1:13" s="2" customFormat="1" ht="15" customHeight="1">
      <c r="A4" s="97"/>
      <c r="B4" s="49"/>
      <c r="C4" s="1"/>
      <c r="D4" s="1"/>
      <c r="F4" s="1"/>
      <c r="G4" s="1"/>
      <c r="I4" s="1"/>
      <c r="J4" s="1"/>
      <c r="K4" s="2" t="s">
        <v>575</v>
      </c>
      <c r="L4" s="1"/>
      <c r="M4" s="1"/>
    </row>
    <row r="5" spans="1:12" s="2" customFormat="1" ht="15" customHeight="1">
      <c r="A5" s="97"/>
      <c r="B5" s="49"/>
      <c r="C5" s="1"/>
      <c r="F5" s="1"/>
      <c r="I5" s="1"/>
      <c r="J5" s="1"/>
      <c r="K5" s="2" t="s">
        <v>202</v>
      </c>
      <c r="L5" s="1"/>
    </row>
    <row r="6" spans="1:12" s="2" customFormat="1" ht="12.75" customHeight="1">
      <c r="A6" s="97"/>
      <c r="B6" s="49"/>
      <c r="C6" s="1"/>
      <c r="F6" s="1"/>
      <c r="I6" s="1"/>
      <c r="J6" s="1"/>
      <c r="L6" s="1"/>
    </row>
    <row r="7" spans="1:11" s="2" customFormat="1" ht="15" customHeight="1">
      <c r="A7" s="97"/>
      <c r="B7" s="191" t="s">
        <v>458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1:15" s="2" customFormat="1" ht="11.25" customHeight="1">
      <c r="A8" s="97"/>
      <c r="B8" s="98"/>
      <c r="C8" s="1"/>
      <c r="D8" s="1"/>
      <c r="F8" s="1"/>
      <c r="G8" s="1"/>
      <c r="I8" s="1"/>
      <c r="J8" s="1"/>
      <c r="K8" s="1"/>
      <c r="L8" s="1"/>
      <c r="M8" s="1"/>
      <c r="O8" s="2" t="s">
        <v>409</v>
      </c>
    </row>
    <row r="9" spans="1:15" s="3" customFormat="1" ht="39.75" customHeight="1">
      <c r="A9" s="206" t="s">
        <v>23</v>
      </c>
      <c r="B9" s="196" t="s">
        <v>79</v>
      </c>
      <c r="C9" s="203" t="s">
        <v>25</v>
      </c>
      <c r="D9" s="205"/>
      <c r="E9" s="204"/>
      <c r="F9" s="203" t="s">
        <v>410</v>
      </c>
      <c r="G9" s="205"/>
      <c r="H9" s="204"/>
      <c r="I9" s="203" t="s">
        <v>459</v>
      </c>
      <c r="J9" s="205"/>
      <c r="K9" s="204"/>
      <c r="L9" s="203" t="s">
        <v>411</v>
      </c>
      <c r="M9" s="205"/>
      <c r="N9" s="204"/>
      <c r="O9" s="196" t="s">
        <v>27</v>
      </c>
    </row>
    <row r="10" spans="1:15" s="4" customFormat="1" ht="15" customHeight="1">
      <c r="A10" s="206"/>
      <c r="B10" s="202"/>
      <c r="C10" s="196" t="s">
        <v>0</v>
      </c>
      <c r="D10" s="203" t="s">
        <v>1</v>
      </c>
      <c r="E10" s="204"/>
      <c r="F10" s="196" t="s">
        <v>0</v>
      </c>
      <c r="G10" s="203" t="s">
        <v>1</v>
      </c>
      <c r="H10" s="204"/>
      <c r="I10" s="196" t="s">
        <v>0</v>
      </c>
      <c r="J10" s="203" t="s">
        <v>1</v>
      </c>
      <c r="K10" s="204"/>
      <c r="L10" s="196" t="s">
        <v>0</v>
      </c>
      <c r="M10" s="203" t="s">
        <v>1</v>
      </c>
      <c r="N10" s="204"/>
      <c r="O10" s="202"/>
    </row>
    <row r="11" spans="1:15" s="4" customFormat="1" ht="15" customHeight="1">
      <c r="A11" s="206"/>
      <c r="B11" s="202"/>
      <c r="C11" s="202"/>
      <c r="D11" s="196" t="s">
        <v>26</v>
      </c>
      <c r="E11" s="196" t="s">
        <v>24</v>
      </c>
      <c r="F11" s="202"/>
      <c r="G11" s="196" t="s">
        <v>26</v>
      </c>
      <c r="H11" s="196" t="s">
        <v>24</v>
      </c>
      <c r="I11" s="202"/>
      <c r="J11" s="196" t="s">
        <v>26</v>
      </c>
      <c r="K11" s="196" t="s">
        <v>24</v>
      </c>
      <c r="L11" s="202"/>
      <c r="M11" s="196" t="s">
        <v>26</v>
      </c>
      <c r="N11" s="196" t="s">
        <v>24</v>
      </c>
      <c r="O11" s="202"/>
    </row>
    <row r="12" spans="1:15" s="4" customFormat="1" ht="39" customHeight="1">
      <c r="A12" s="20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s="6" customFormat="1" ht="14.25" customHeight="1">
      <c r="A13" s="5">
        <v>1</v>
      </c>
      <c r="B13" s="99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 s="7" customFormat="1" ht="15" customHeight="1">
      <c r="A14" s="44"/>
      <c r="B14" s="193" t="s">
        <v>291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</row>
    <row r="15" spans="1:15" s="8" customFormat="1" ht="15.75" customHeight="1">
      <c r="A15" s="44"/>
      <c r="B15" s="100" t="s">
        <v>39</v>
      </c>
      <c r="C15" s="56">
        <f>C16+C17+C42+C44</f>
        <v>3066700</v>
      </c>
      <c r="D15" s="56">
        <f aca="true" t="shared" si="0" ref="D15:N15">D16+D17+D42+D44</f>
        <v>2338100</v>
      </c>
      <c r="E15" s="56">
        <f t="shared" si="0"/>
        <v>189000</v>
      </c>
      <c r="F15" s="56">
        <f t="shared" si="0"/>
        <v>334372</v>
      </c>
      <c r="G15" s="56">
        <f t="shared" si="0"/>
        <v>278128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167780</v>
      </c>
      <c r="M15" s="56">
        <f t="shared" si="0"/>
        <v>0</v>
      </c>
      <c r="N15" s="56">
        <f t="shared" si="0"/>
        <v>0</v>
      </c>
      <c r="O15" s="44">
        <f aca="true" t="shared" si="1" ref="O15:O47">C15+F15+I15+L15</f>
        <v>3568852</v>
      </c>
    </row>
    <row r="16" spans="1:15" s="7" customFormat="1" ht="15.75" customHeight="1">
      <c r="A16" s="44" t="s">
        <v>67</v>
      </c>
      <c r="B16" s="100" t="s">
        <v>231</v>
      </c>
      <c r="C16" s="56">
        <v>49000</v>
      </c>
      <c r="D16" s="56">
        <v>46500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44">
        <f t="shared" si="1"/>
        <v>49000</v>
      </c>
    </row>
    <row r="17" spans="1:15" s="7" customFormat="1" ht="16.5" customHeight="1">
      <c r="A17" s="44" t="s">
        <v>66</v>
      </c>
      <c r="B17" s="100" t="s">
        <v>52</v>
      </c>
      <c r="C17" s="56">
        <f>SUM(C18:C41)</f>
        <v>2728700</v>
      </c>
      <c r="D17" s="56">
        <f aca="true" t="shared" si="2" ref="D17:N17">SUM(D18:D41)</f>
        <v>2291600</v>
      </c>
      <c r="E17" s="56">
        <f t="shared" si="2"/>
        <v>40000</v>
      </c>
      <c r="F17" s="56">
        <f t="shared" si="2"/>
        <v>334372</v>
      </c>
      <c r="G17" s="56">
        <f t="shared" si="2"/>
        <v>278128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>SUM(L18:L41)</f>
        <v>167780</v>
      </c>
      <c r="M17" s="56">
        <f t="shared" si="2"/>
        <v>0</v>
      </c>
      <c r="N17" s="56">
        <f t="shared" si="2"/>
        <v>0</v>
      </c>
      <c r="O17" s="44">
        <f t="shared" si="1"/>
        <v>3230852</v>
      </c>
    </row>
    <row r="18" spans="1:15" s="2" customFormat="1" ht="15" customHeight="1">
      <c r="A18" s="45" t="s">
        <v>60</v>
      </c>
      <c r="B18" s="51" t="s">
        <v>232</v>
      </c>
      <c r="C18" s="44">
        <f>286700-7000</f>
        <v>279700</v>
      </c>
      <c r="D18" s="46">
        <f>160800+83000</f>
        <v>243800</v>
      </c>
      <c r="E18" s="46"/>
      <c r="F18" s="44"/>
      <c r="G18" s="46"/>
      <c r="H18" s="46"/>
      <c r="I18" s="44"/>
      <c r="J18" s="44"/>
      <c r="K18" s="46"/>
      <c r="L18" s="44"/>
      <c r="M18" s="46"/>
      <c r="N18" s="46"/>
      <c r="O18" s="44">
        <f t="shared" si="1"/>
        <v>279700</v>
      </c>
    </row>
    <row r="19" spans="1:15" s="2" customFormat="1" ht="15" customHeight="1">
      <c r="A19" s="45" t="s">
        <v>61</v>
      </c>
      <c r="B19" s="51" t="s">
        <v>109</v>
      </c>
      <c r="C19" s="44">
        <v>7000</v>
      </c>
      <c r="D19" s="46"/>
      <c r="E19" s="46"/>
      <c r="F19" s="44"/>
      <c r="G19" s="46"/>
      <c r="H19" s="46"/>
      <c r="I19" s="44"/>
      <c r="J19" s="44"/>
      <c r="K19" s="46"/>
      <c r="L19" s="44"/>
      <c r="M19" s="46"/>
      <c r="N19" s="46"/>
      <c r="O19" s="44">
        <f t="shared" si="1"/>
        <v>7000</v>
      </c>
    </row>
    <row r="20" spans="1:15" s="2" customFormat="1" ht="29.25" customHeight="1">
      <c r="A20" s="45" t="s">
        <v>62</v>
      </c>
      <c r="B20" s="51" t="s">
        <v>204</v>
      </c>
      <c r="C20" s="44">
        <f>1364300+251900</f>
        <v>1616200</v>
      </c>
      <c r="D20" s="46">
        <f>1158800+226600</f>
        <v>1385400</v>
      </c>
      <c r="E20" s="46">
        <v>10000</v>
      </c>
      <c r="F20" s="44">
        <v>75926</v>
      </c>
      <c r="G20" s="46">
        <v>55640</v>
      </c>
      <c r="H20" s="46"/>
      <c r="I20" s="101"/>
      <c r="J20" s="44"/>
      <c r="K20" s="46"/>
      <c r="L20" s="44">
        <f>5000+40000+90000</f>
        <v>135000</v>
      </c>
      <c r="M20" s="46"/>
      <c r="N20" s="46"/>
      <c r="O20" s="44">
        <f t="shared" si="1"/>
        <v>1827126</v>
      </c>
    </row>
    <row r="21" spans="1:15" s="2" customFormat="1" ht="15" customHeight="1">
      <c r="A21" s="45" t="s">
        <v>63</v>
      </c>
      <c r="B21" s="51" t="s">
        <v>21</v>
      </c>
      <c r="C21" s="44"/>
      <c r="D21" s="46"/>
      <c r="E21" s="102"/>
      <c r="F21" s="44">
        <v>7100</v>
      </c>
      <c r="G21" s="46">
        <v>6600</v>
      </c>
      <c r="H21" s="46"/>
      <c r="I21" s="101"/>
      <c r="J21" s="101"/>
      <c r="K21" s="102"/>
      <c r="L21" s="101"/>
      <c r="M21" s="102"/>
      <c r="N21" s="102"/>
      <c r="O21" s="44">
        <f t="shared" si="1"/>
        <v>7100</v>
      </c>
    </row>
    <row r="22" spans="1:15" s="2" customFormat="1" ht="15" customHeight="1">
      <c r="A22" s="45" t="s">
        <v>64</v>
      </c>
      <c r="B22" s="51" t="s">
        <v>199</v>
      </c>
      <c r="C22" s="44"/>
      <c r="D22" s="46"/>
      <c r="E22" s="102"/>
      <c r="F22" s="44">
        <v>19600</v>
      </c>
      <c r="G22" s="46">
        <v>13900</v>
      </c>
      <c r="H22" s="46"/>
      <c r="I22" s="101"/>
      <c r="J22" s="101"/>
      <c r="K22" s="102"/>
      <c r="L22" s="101"/>
      <c r="M22" s="102"/>
      <c r="N22" s="102"/>
      <c r="O22" s="44">
        <f t="shared" si="1"/>
        <v>19600</v>
      </c>
    </row>
    <row r="23" spans="1:15" s="2" customFormat="1" ht="15" customHeight="1">
      <c r="A23" s="45" t="s">
        <v>65</v>
      </c>
      <c r="B23" s="51" t="s">
        <v>205</v>
      </c>
      <c r="C23" s="44"/>
      <c r="D23" s="46"/>
      <c r="E23" s="102"/>
      <c r="F23" s="44">
        <v>177100</v>
      </c>
      <c r="G23" s="46">
        <v>157100</v>
      </c>
      <c r="H23" s="46"/>
      <c r="I23" s="101"/>
      <c r="J23" s="101"/>
      <c r="K23" s="102"/>
      <c r="L23" s="101"/>
      <c r="M23" s="102"/>
      <c r="N23" s="102"/>
      <c r="O23" s="44">
        <f t="shared" si="1"/>
        <v>177100</v>
      </c>
    </row>
    <row r="24" spans="1:15" s="2" customFormat="1" ht="15" customHeight="1">
      <c r="A24" s="45" t="s">
        <v>80</v>
      </c>
      <c r="B24" s="51" t="s">
        <v>214</v>
      </c>
      <c r="C24" s="44"/>
      <c r="D24" s="46"/>
      <c r="E24" s="102"/>
      <c r="F24" s="44">
        <v>12400</v>
      </c>
      <c r="G24" s="46">
        <v>8800</v>
      </c>
      <c r="H24" s="46"/>
      <c r="I24" s="101"/>
      <c r="J24" s="101"/>
      <c r="K24" s="102"/>
      <c r="L24" s="101"/>
      <c r="M24" s="102"/>
      <c r="N24" s="102"/>
      <c r="O24" s="44">
        <f t="shared" si="1"/>
        <v>12400</v>
      </c>
    </row>
    <row r="25" spans="1:15" s="2" customFormat="1" ht="28.5" customHeight="1">
      <c r="A25" s="45" t="s">
        <v>81</v>
      </c>
      <c r="B25" s="51" t="s">
        <v>206</v>
      </c>
      <c r="C25" s="44"/>
      <c r="D25" s="46"/>
      <c r="E25" s="102"/>
      <c r="F25" s="44">
        <v>6200</v>
      </c>
      <c r="G25" s="46">
        <v>6110</v>
      </c>
      <c r="H25" s="46"/>
      <c r="I25" s="101"/>
      <c r="J25" s="101"/>
      <c r="K25" s="102"/>
      <c r="L25" s="101"/>
      <c r="M25" s="102"/>
      <c r="N25" s="102"/>
      <c r="O25" s="44">
        <f t="shared" si="1"/>
        <v>6200</v>
      </c>
    </row>
    <row r="26" spans="1:15" s="2" customFormat="1" ht="15" customHeight="1">
      <c r="A26" s="47" t="s">
        <v>82</v>
      </c>
      <c r="B26" s="51" t="s">
        <v>207</v>
      </c>
      <c r="C26" s="44"/>
      <c r="D26" s="46"/>
      <c r="E26" s="102"/>
      <c r="F26" s="44">
        <v>3800</v>
      </c>
      <c r="G26" s="46"/>
      <c r="H26" s="46"/>
      <c r="I26" s="101"/>
      <c r="J26" s="101"/>
      <c r="K26" s="102"/>
      <c r="L26" s="101"/>
      <c r="M26" s="102"/>
      <c r="N26" s="102"/>
      <c r="O26" s="44">
        <f>C26+F26+I26+L26</f>
        <v>3800</v>
      </c>
    </row>
    <row r="27" spans="1:15" s="2" customFormat="1" ht="15" customHeight="1">
      <c r="A27" s="103" t="s">
        <v>83</v>
      </c>
      <c r="B27" s="51" t="s">
        <v>460</v>
      </c>
      <c r="C27" s="44"/>
      <c r="D27" s="46"/>
      <c r="E27" s="46"/>
      <c r="F27" s="44">
        <v>13500</v>
      </c>
      <c r="G27" s="46">
        <v>11500</v>
      </c>
      <c r="H27" s="46"/>
      <c r="I27" s="44"/>
      <c r="J27" s="44"/>
      <c r="K27" s="46"/>
      <c r="L27" s="44"/>
      <c r="M27" s="46"/>
      <c r="N27" s="102"/>
      <c r="O27" s="44">
        <f t="shared" si="1"/>
        <v>13500</v>
      </c>
    </row>
    <row r="28" spans="1:15" s="106" customFormat="1" ht="28.5" customHeight="1">
      <c r="A28" s="104" t="s">
        <v>84</v>
      </c>
      <c r="B28" s="105" t="s">
        <v>461</v>
      </c>
      <c r="C28" s="101"/>
      <c r="D28" s="102"/>
      <c r="E28" s="102"/>
      <c r="F28" s="101">
        <v>18746</v>
      </c>
      <c r="G28" s="102">
        <v>18478</v>
      </c>
      <c r="H28" s="102"/>
      <c r="I28" s="101"/>
      <c r="J28" s="101"/>
      <c r="K28" s="102"/>
      <c r="L28" s="101"/>
      <c r="M28" s="102"/>
      <c r="N28" s="102"/>
      <c r="O28" s="101">
        <f t="shared" si="1"/>
        <v>18746</v>
      </c>
    </row>
    <row r="29" spans="1:15" s="2" customFormat="1" ht="15" customHeight="1">
      <c r="A29" s="47" t="s">
        <v>108</v>
      </c>
      <c r="B29" s="51" t="s">
        <v>112</v>
      </c>
      <c r="C29" s="44">
        <v>68100</v>
      </c>
      <c r="D29" s="46">
        <v>60620</v>
      </c>
      <c r="E29" s="46"/>
      <c r="F29" s="46"/>
      <c r="G29" s="46"/>
      <c r="H29" s="46"/>
      <c r="I29" s="46"/>
      <c r="J29" s="46"/>
      <c r="K29" s="46"/>
      <c r="L29" s="44">
        <v>2070</v>
      </c>
      <c r="M29" s="46"/>
      <c r="N29" s="102"/>
      <c r="O29" s="44">
        <f t="shared" si="1"/>
        <v>70170</v>
      </c>
    </row>
    <row r="30" spans="1:15" s="2" customFormat="1" ht="15" customHeight="1">
      <c r="A30" s="47" t="s">
        <v>110</v>
      </c>
      <c r="B30" s="51" t="s">
        <v>118</v>
      </c>
      <c r="C30" s="44">
        <v>57000</v>
      </c>
      <c r="D30" s="46">
        <v>49000</v>
      </c>
      <c r="E30" s="46"/>
      <c r="F30" s="46"/>
      <c r="G30" s="46"/>
      <c r="H30" s="46"/>
      <c r="I30" s="46"/>
      <c r="J30" s="46"/>
      <c r="K30" s="46"/>
      <c r="L30" s="44"/>
      <c r="M30" s="46"/>
      <c r="N30" s="102"/>
      <c r="O30" s="44">
        <f t="shared" si="1"/>
        <v>57000</v>
      </c>
    </row>
    <row r="31" spans="1:15" s="2" customFormat="1" ht="15" customHeight="1">
      <c r="A31" s="47" t="s">
        <v>111</v>
      </c>
      <c r="B31" s="51" t="s">
        <v>119</v>
      </c>
      <c r="C31" s="44">
        <v>41500</v>
      </c>
      <c r="D31" s="46">
        <v>32130</v>
      </c>
      <c r="E31" s="46"/>
      <c r="F31" s="46"/>
      <c r="G31" s="46"/>
      <c r="H31" s="46"/>
      <c r="I31" s="46"/>
      <c r="J31" s="46"/>
      <c r="K31" s="46"/>
      <c r="L31" s="44">
        <v>630</v>
      </c>
      <c r="M31" s="46"/>
      <c r="N31" s="102"/>
      <c r="O31" s="44">
        <f t="shared" si="1"/>
        <v>42130</v>
      </c>
    </row>
    <row r="32" spans="1:15" s="1" customFormat="1" ht="15" customHeight="1">
      <c r="A32" s="47" t="s">
        <v>129</v>
      </c>
      <c r="B32" s="51" t="s">
        <v>120</v>
      </c>
      <c r="C32" s="44">
        <v>66100</v>
      </c>
      <c r="D32" s="46">
        <v>58050</v>
      </c>
      <c r="E32" s="46"/>
      <c r="F32" s="46"/>
      <c r="G32" s="46"/>
      <c r="H32" s="46"/>
      <c r="I32" s="46"/>
      <c r="J32" s="46"/>
      <c r="K32" s="46"/>
      <c r="L32" s="44">
        <v>100</v>
      </c>
      <c r="M32" s="46"/>
      <c r="N32" s="102"/>
      <c r="O32" s="44">
        <f t="shared" si="1"/>
        <v>66200</v>
      </c>
    </row>
    <row r="33" spans="1:15" s="2" customFormat="1" ht="15" customHeight="1">
      <c r="A33" s="47" t="s">
        <v>130</v>
      </c>
      <c r="B33" s="51" t="s">
        <v>121</v>
      </c>
      <c r="C33" s="44">
        <v>94000</v>
      </c>
      <c r="D33" s="46">
        <v>78370</v>
      </c>
      <c r="E33" s="46"/>
      <c r="F33" s="46"/>
      <c r="G33" s="46"/>
      <c r="H33" s="46"/>
      <c r="I33" s="46"/>
      <c r="J33" s="46"/>
      <c r="K33" s="46"/>
      <c r="L33" s="44">
        <f>2750+19000</f>
        <v>21750</v>
      </c>
      <c r="M33" s="46"/>
      <c r="N33" s="102"/>
      <c r="O33" s="44">
        <f t="shared" si="1"/>
        <v>115750</v>
      </c>
    </row>
    <row r="34" spans="1:15" s="2" customFormat="1" ht="15" customHeight="1">
      <c r="A34" s="47" t="s">
        <v>131</v>
      </c>
      <c r="B34" s="51" t="s">
        <v>122</v>
      </c>
      <c r="C34" s="44">
        <v>66700</v>
      </c>
      <c r="D34" s="46">
        <v>59330</v>
      </c>
      <c r="E34" s="46"/>
      <c r="F34" s="46"/>
      <c r="G34" s="46"/>
      <c r="H34" s="46"/>
      <c r="I34" s="46"/>
      <c r="J34" s="46"/>
      <c r="K34" s="46"/>
      <c r="L34" s="44">
        <v>490</v>
      </c>
      <c r="M34" s="46"/>
      <c r="N34" s="102"/>
      <c r="O34" s="44">
        <f t="shared" si="1"/>
        <v>67190</v>
      </c>
    </row>
    <row r="35" spans="1:15" s="2" customFormat="1" ht="15" customHeight="1">
      <c r="A35" s="47" t="s">
        <v>132</v>
      </c>
      <c r="B35" s="51" t="s">
        <v>123</v>
      </c>
      <c r="C35" s="44">
        <v>54200</v>
      </c>
      <c r="D35" s="46">
        <v>47600</v>
      </c>
      <c r="E35" s="46"/>
      <c r="F35" s="46"/>
      <c r="G35" s="46"/>
      <c r="H35" s="46"/>
      <c r="I35" s="46"/>
      <c r="J35" s="46"/>
      <c r="K35" s="46"/>
      <c r="L35" s="44">
        <v>1160</v>
      </c>
      <c r="M35" s="46"/>
      <c r="N35" s="102"/>
      <c r="O35" s="44">
        <f t="shared" si="1"/>
        <v>55360</v>
      </c>
    </row>
    <row r="36" spans="1:15" s="2" customFormat="1" ht="15" customHeight="1">
      <c r="A36" s="47" t="s">
        <v>133</v>
      </c>
      <c r="B36" s="51" t="s">
        <v>124</v>
      </c>
      <c r="C36" s="44">
        <v>61900</v>
      </c>
      <c r="D36" s="46">
        <v>55200</v>
      </c>
      <c r="E36" s="46"/>
      <c r="F36" s="46"/>
      <c r="G36" s="46"/>
      <c r="H36" s="46"/>
      <c r="I36" s="46"/>
      <c r="J36" s="46"/>
      <c r="K36" s="46"/>
      <c r="L36" s="44"/>
      <c r="M36" s="46"/>
      <c r="N36" s="102"/>
      <c r="O36" s="44">
        <f t="shared" si="1"/>
        <v>61900</v>
      </c>
    </row>
    <row r="37" spans="1:15" s="2" customFormat="1" ht="15" customHeight="1">
      <c r="A37" s="47" t="s">
        <v>134</v>
      </c>
      <c r="B37" s="51" t="s">
        <v>125</v>
      </c>
      <c r="C37" s="44">
        <v>63700</v>
      </c>
      <c r="D37" s="46">
        <v>56880</v>
      </c>
      <c r="E37" s="46"/>
      <c r="F37" s="46"/>
      <c r="G37" s="46"/>
      <c r="H37" s="46"/>
      <c r="I37" s="46"/>
      <c r="J37" s="46"/>
      <c r="K37" s="46"/>
      <c r="L37" s="44">
        <v>470</v>
      </c>
      <c r="M37" s="46"/>
      <c r="N37" s="102"/>
      <c r="O37" s="44">
        <f t="shared" si="1"/>
        <v>64170</v>
      </c>
    </row>
    <row r="38" spans="1:15" s="2" customFormat="1" ht="15" customHeight="1">
      <c r="A38" s="47" t="s">
        <v>135</v>
      </c>
      <c r="B38" s="51" t="s">
        <v>126</v>
      </c>
      <c r="C38" s="44">
        <v>68800</v>
      </c>
      <c r="D38" s="46">
        <v>61900</v>
      </c>
      <c r="E38" s="46"/>
      <c r="F38" s="46"/>
      <c r="G38" s="46"/>
      <c r="H38" s="46"/>
      <c r="I38" s="46"/>
      <c r="J38" s="46"/>
      <c r="K38" s="46"/>
      <c r="L38" s="44">
        <v>5370</v>
      </c>
      <c r="M38" s="46"/>
      <c r="N38" s="102"/>
      <c r="O38" s="44">
        <f t="shared" si="1"/>
        <v>74170</v>
      </c>
    </row>
    <row r="39" spans="1:15" s="2" customFormat="1" ht="15" customHeight="1">
      <c r="A39" s="47" t="s">
        <v>136</v>
      </c>
      <c r="B39" s="51" t="s">
        <v>127</v>
      </c>
      <c r="C39" s="44">
        <v>59200</v>
      </c>
      <c r="D39" s="46">
        <v>49000</v>
      </c>
      <c r="E39" s="46"/>
      <c r="F39" s="46"/>
      <c r="G39" s="46"/>
      <c r="H39" s="46"/>
      <c r="I39" s="46"/>
      <c r="J39" s="46"/>
      <c r="K39" s="46"/>
      <c r="L39" s="44">
        <v>740</v>
      </c>
      <c r="M39" s="46"/>
      <c r="N39" s="102"/>
      <c r="O39" s="44">
        <f>C39+F39+I39+L39</f>
        <v>59940</v>
      </c>
    </row>
    <row r="40" spans="1:15" s="2" customFormat="1" ht="15.75" customHeight="1">
      <c r="A40" s="47" t="s">
        <v>137</v>
      </c>
      <c r="B40" s="107" t="s">
        <v>128</v>
      </c>
      <c r="C40" s="44">
        <v>64600</v>
      </c>
      <c r="D40" s="46">
        <v>54320</v>
      </c>
      <c r="E40" s="46"/>
      <c r="F40" s="46"/>
      <c r="G40" s="46"/>
      <c r="H40" s="46"/>
      <c r="I40" s="46"/>
      <c r="J40" s="46"/>
      <c r="K40" s="46"/>
      <c r="L40" s="44"/>
      <c r="M40" s="46"/>
      <c r="N40" s="102"/>
      <c r="O40" s="44">
        <f t="shared" si="1"/>
        <v>64600</v>
      </c>
    </row>
    <row r="41" spans="1:15" s="1" customFormat="1" ht="29.25" customHeight="1">
      <c r="A41" s="47" t="s">
        <v>462</v>
      </c>
      <c r="B41" s="51" t="s">
        <v>189</v>
      </c>
      <c r="C41" s="44">
        <v>60000</v>
      </c>
      <c r="D41" s="46"/>
      <c r="E41" s="46">
        <v>30000</v>
      </c>
      <c r="F41" s="46"/>
      <c r="G41" s="46"/>
      <c r="H41" s="46"/>
      <c r="I41" s="46"/>
      <c r="J41" s="46"/>
      <c r="K41" s="46"/>
      <c r="L41" s="46"/>
      <c r="M41" s="46"/>
      <c r="N41" s="101"/>
      <c r="O41" s="44">
        <f t="shared" si="1"/>
        <v>60000</v>
      </c>
    </row>
    <row r="42" spans="1:15" s="11" customFormat="1" ht="27" customHeight="1">
      <c r="A42" s="44" t="s">
        <v>68</v>
      </c>
      <c r="B42" s="100" t="s">
        <v>29</v>
      </c>
      <c r="C42" s="44">
        <f aca="true" t="shared" si="3" ref="C42:I42">SUM(C43:C43)</f>
        <v>53000</v>
      </c>
      <c r="D42" s="44">
        <f t="shared" si="3"/>
        <v>0</v>
      </c>
      <c r="E42" s="44">
        <f t="shared" si="3"/>
        <v>0</v>
      </c>
      <c r="F42" s="44">
        <f t="shared" si="3"/>
        <v>0</v>
      </c>
      <c r="G42" s="44">
        <f t="shared" si="3"/>
        <v>0</v>
      </c>
      <c r="H42" s="44">
        <f t="shared" si="3"/>
        <v>0</v>
      </c>
      <c r="I42" s="44">
        <f t="shared" si="3"/>
        <v>0</v>
      </c>
      <c r="J42" s="44"/>
      <c r="K42" s="44">
        <f>SUM(K43:K43)</f>
        <v>0</v>
      </c>
      <c r="L42" s="44">
        <f>SUM(L43:L43)</f>
        <v>0</v>
      </c>
      <c r="M42" s="44">
        <f>SUM(M43:M43)</f>
        <v>0</v>
      </c>
      <c r="N42" s="101">
        <f>SUM(N43:N43)</f>
        <v>0</v>
      </c>
      <c r="O42" s="44">
        <f t="shared" si="1"/>
        <v>53000</v>
      </c>
    </row>
    <row r="43" spans="1:15" s="9" customFormat="1" ht="15" customHeight="1">
      <c r="A43" s="108" t="s">
        <v>85</v>
      </c>
      <c r="B43" s="109" t="s">
        <v>412</v>
      </c>
      <c r="C43" s="46">
        <v>53000</v>
      </c>
      <c r="D43" s="110"/>
      <c r="E43" s="102"/>
      <c r="F43" s="110"/>
      <c r="G43" s="110"/>
      <c r="H43" s="110"/>
      <c r="I43" s="110"/>
      <c r="J43" s="110"/>
      <c r="K43" s="110"/>
      <c r="L43" s="110"/>
      <c r="M43" s="110"/>
      <c r="N43" s="110"/>
      <c r="O43" s="44">
        <f t="shared" si="1"/>
        <v>53000</v>
      </c>
    </row>
    <row r="44" spans="1:15" s="11" customFormat="1" ht="15" customHeight="1">
      <c r="A44" s="44" t="s">
        <v>69</v>
      </c>
      <c r="B44" s="100" t="s">
        <v>52</v>
      </c>
      <c r="C44" s="44">
        <f aca="true" t="shared" si="4" ref="C44:I44">SUM(C45:C47)</f>
        <v>236000</v>
      </c>
      <c r="D44" s="44">
        <f t="shared" si="4"/>
        <v>0</v>
      </c>
      <c r="E44" s="44">
        <f t="shared" si="4"/>
        <v>149000</v>
      </c>
      <c r="F44" s="44">
        <f t="shared" si="4"/>
        <v>0</v>
      </c>
      <c r="G44" s="44">
        <f t="shared" si="4"/>
        <v>0</v>
      </c>
      <c r="H44" s="44">
        <f t="shared" si="4"/>
        <v>0</v>
      </c>
      <c r="I44" s="101">
        <f t="shared" si="4"/>
        <v>0</v>
      </c>
      <c r="J44" s="101"/>
      <c r="K44" s="101">
        <f>SUM(K45:K47)</f>
        <v>0</v>
      </c>
      <c r="L44" s="101">
        <f>SUM(L45:L47)</f>
        <v>0</v>
      </c>
      <c r="M44" s="101">
        <f>SUM(M45:M47)</f>
        <v>0</v>
      </c>
      <c r="N44" s="101">
        <f>SUM(N45:N47)</f>
        <v>0</v>
      </c>
      <c r="O44" s="44">
        <f t="shared" si="1"/>
        <v>236000</v>
      </c>
    </row>
    <row r="45" spans="1:15" s="9" customFormat="1" ht="15" customHeight="1">
      <c r="A45" s="45" t="s">
        <v>56</v>
      </c>
      <c r="B45" s="109" t="s">
        <v>287</v>
      </c>
      <c r="C45" s="46">
        <v>4000</v>
      </c>
      <c r="D45" s="48"/>
      <c r="E45" s="48"/>
      <c r="F45" s="48"/>
      <c r="G45" s="48"/>
      <c r="H45" s="48"/>
      <c r="I45" s="110"/>
      <c r="J45" s="110"/>
      <c r="K45" s="110"/>
      <c r="L45" s="110"/>
      <c r="M45" s="110"/>
      <c r="N45" s="110"/>
      <c r="O45" s="44">
        <f t="shared" si="1"/>
        <v>4000</v>
      </c>
    </row>
    <row r="46" spans="1:15" s="9" customFormat="1" ht="15" customHeight="1">
      <c r="A46" s="108" t="s">
        <v>57</v>
      </c>
      <c r="B46" s="109" t="s">
        <v>49</v>
      </c>
      <c r="C46" s="46">
        <v>8000</v>
      </c>
      <c r="D46" s="48"/>
      <c r="E46" s="48"/>
      <c r="F46" s="48"/>
      <c r="G46" s="48"/>
      <c r="H46" s="48"/>
      <c r="I46" s="110"/>
      <c r="J46" s="110"/>
      <c r="K46" s="110"/>
      <c r="L46" s="110"/>
      <c r="M46" s="110"/>
      <c r="N46" s="110"/>
      <c r="O46" s="44">
        <f>C46+F46+I46+L46</f>
        <v>8000</v>
      </c>
    </row>
    <row r="47" spans="1:15" s="115" customFormat="1" ht="59.25" customHeight="1">
      <c r="A47" s="111" t="s">
        <v>190</v>
      </c>
      <c r="B47" s="112" t="s">
        <v>264</v>
      </c>
      <c r="C47" s="102">
        <f>204000+20000</f>
        <v>224000</v>
      </c>
      <c r="D47" s="110"/>
      <c r="E47" s="102">
        <f>50000+79000+20000</f>
        <v>149000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01">
        <f t="shared" si="1"/>
        <v>224000</v>
      </c>
    </row>
    <row r="48" spans="1:15" s="114" customFormat="1" ht="15" customHeight="1">
      <c r="A48" s="113"/>
      <c r="B48" s="193" t="s">
        <v>292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15" s="115" customFormat="1" ht="15" customHeight="1">
      <c r="A49" s="46"/>
      <c r="B49" s="100" t="s">
        <v>39</v>
      </c>
      <c r="C49" s="56">
        <f>C50</f>
        <v>26700</v>
      </c>
      <c r="D49" s="56">
        <f aca="true" t="shared" si="5" ref="D49:N49">D50</f>
        <v>0</v>
      </c>
      <c r="E49" s="56">
        <f t="shared" si="5"/>
        <v>0</v>
      </c>
      <c r="F49" s="56">
        <f t="shared" si="5"/>
        <v>257000</v>
      </c>
      <c r="G49" s="56">
        <f t="shared" si="5"/>
        <v>0</v>
      </c>
      <c r="H49" s="56">
        <f t="shared" si="5"/>
        <v>0</v>
      </c>
      <c r="I49" s="56">
        <f t="shared" si="5"/>
        <v>0</v>
      </c>
      <c r="J49" s="56"/>
      <c r="K49" s="56">
        <f t="shared" si="5"/>
        <v>0</v>
      </c>
      <c r="L49" s="56">
        <f t="shared" si="5"/>
        <v>0</v>
      </c>
      <c r="M49" s="56">
        <f t="shared" si="5"/>
        <v>0</v>
      </c>
      <c r="N49" s="56">
        <f t="shared" si="5"/>
        <v>0</v>
      </c>
      <c r="O49" s="44">
        <f>C49+F49+I49+L49</f>
        <v>283700</v>
      </c>
    </row>
    <row r="50" spans="1:15" s="115" customFormat="1" ht="15.75" customHeight="1">
      <c r="A50" s="44" t="s">
        <v>70</v>
      </c>
      <c r="B50" s="100" t="s">
        <v>52</v>
      </c>
      <c r="C50" s="56">
        <f>SUM(C52,C53)</f>
        <v>26700</v>
      </c>
      <c r="D50" s="56">
        <f>SUM(D53)</f>
        <v>0</v>
      </c>
      <c r="E50" s="56">
        <f>SUM(E53)</f>
        <v>0</v>
      </c>
      <c r="F50" s="56">
        <f aca="true" t="shared" si="6" ref="F50:N50">SUM(F51)</f>
        <v>257000</v>
      </c>
      <c r="G50" s="56">
        <f t="shared" si="6"/>
        <v>0</v>
      </c>
      <c r="H50" s="56">
        <f t="shared" si="6"/>
        <v>0</v>
      </c>
      <c r="I50" s="56">
        <f t="shared" si="6"/>
        <v>0</v>
      </c>
      <c r="J50" s="56"/>
      <c r="K50" s="56">
        <f t="shared" si="6"/>
        <v>0</v>
      </c>
      <c r="L50" s="56">
        <f t="shared" si="6"/>
        <v>0</v>
      </c>
      <c r="M50" s="56">
        <f t="shared" si="6"/>
        <v>0</v>
      </c>
      <c r="N50" s="56">
        <f t="shared" si="6"/>
        <v>0</v>
      </c>
      <c r="O50" s="44">
        <f>C50+F50+I50+L50</f>
        <v>283700</v>
      </c>
    </row>
    <row r="51" spans="1:15" s="117" customFormat="1" ht="15" customHeight="1">
      <c r="A51" s="108" t="s">
        <v>58</v>
      </c>
      <c r="B51" s="109" t="s">
        <v>191</v>
      </c>
      <c r="C51" s="109"/>
      <c r="D51" s="109"/>
      <c r="E51" s="109"/>
      <c r="F51" s="55">
        <v>257000</v>
      </c>
      <c r="G51" s="55"/>
      <c r="H51" s="55"/>
      <c r="I51" s="109"/>
      <c r="J51" s="109"/>
      <c r="K51" s="109"/>
      <c r="L51" s="109"/>
      <c r="M51" s="109"/>
      <c r="N51" s="109"/>
      <c r="O51" s="44">
        <f>C51+F51+I51+L51</f>
        <v>257000</v>
      </c>
    </row>
    <row r="52" spans="1:15" s="117" customFormat="1" ht="15" customHeight="1">
      <c r="A52" s="108" t="s">
        <v>59</v>
      </c>
      <c r="B52" s="109" t="s">
        <v>260</v>
      </c>
      <c r="C52" s="55">
        <v>10000</v>
      </c>
      <c r="D52" s="109"/>
      <c r="E52" s="109"/>
      <c r="F52" s="55"/>
      <c r="G52" s="55"/>
      <c r="H52" s="55"/>
      <c r="I52" s="109"/>
      <c r="J52" s="109"/>
      <c r="K52" s="109"/>
      <c r="L52" s="109"/>
      <c r="M52" s="109"/>
      <c r="N52" s="109"/>
      <c r="O52" s="44">
        <f>C52+F52+I52+L52</f>
        <v>10000</v>
      </c>
    </row>
    <row r="53" spans="1:15" s="106" customFormat="1" ht="15" customHeight="1">
      <c r="A53" s="118" t="s">
        <v>233</v>
      </c>
      <c r="B53" s="49" t="s">
        <v>269</v>
      </c>
      <c r="C53" s="46">
        <v>16700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4">
        <f>C53+F53+I53+L53</f>
        <v>16700</v>
      </c>
    </row>
    <row r="54" spans="1:15" s="106" customFormat="1" ht="15" customHeight="1">
      <c r="A54" s="119"/>
      <c r="B54" s="193" t="s">
        <v>293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/>
    </row>
    <row r="55" spans="1:15" s="9" customFormat="1" ht="15.75" customHeight="1">
      <c r="A55" s="46"/>
      <c r="B55" s="100" t="s">
        <v>39</v>
      </c>
      <c r="C55" s="56">
        <f>C56</f>
        <v>81900</v>
      </c>
      <c r="D55" s="56">
        <f aca="true" t="shared" si="7" ref="D55:N55">D56</f>
        <v>28500</v>
      </c>
      <c r="E55" s="56">
        <f t="shared" si="7"/>
        <v>0</v>
      </c>
      <c r="F55" s="56">
        <f t="shared" si="7"/>
        <v>532403</v>
      </c>
      <c r="G55" s="56">
        <f t="shared" si="7"/>
        <v>0</v>
      </c>
      <c r="H55" s="56">
        <f t="shared" si="7"/>
        <v>475265</v>
      </c>
      <c r="I55" s="56">
        <f t="shared" si="7"/>
        <v>0</v>
      </c>
      <c r="J55" s="56">
        <f t="shared" si="7"/>
        <v>0</v>
      </c>
      <c r="K55" s="56">
        <f t="shared" si="7"/>
        <v>0</v>
      </c>
      <c r="L55" s="56">
        <f t="shared" si="7"/>
        <v>0</v>
      </c>
      <c r="M55" s="56">
        <f t="shared" si="7"/>
        <v>0</v>
      </c>
      <c r="N55" s="56">
        <f t="shared" si="7"/>
        <v>0</v>
      </c>
      <c r="O55" s="44">
        <f aca="true" t="shared" si="8" ref="O55:O60">C55+F55+I55+L55</f>
        <v>614303</v>
      </c>
    </row>
    <row r="56" spans="1:15" s="2" customFormat="1" ht="15" customHeight="1">
      <c r="A56" s="44" t="s">
        <v>71</v>
      </c>
      <c r="B56" s="100" t="s">
        <v>52</v>
      </c>
      <c r="C56" s="44">
        <f>SUM(C57:C63)</f>
        <v>81900</v>
      </c>
      <c r="D56" s="44">
        <f>SUM(D57:D63)</f>
        <v>28500</v>
      </c>
      <c r="E56" s="44">
        <f aca="true" t="shared" si="9" ref="E56:N56">SUM(E57:E63)</f>
        <v>0</v>
      </c>
      <c r="F56" s="44">
        <f t="shared" si="9"/>
        <v>532403</v>
      </c>
      <c r="G56" s="44">
        <f t="shared" si="9"/>
        <v>0</v>
      </c>
      <c r="H56" s="44">
        <f t="shared" si="9"/>
        <v>475265</v>
      </c>
      <c r="I56" s="44">
        <f t="shared" si="9"/>
        <v>0</v>
      </c>
      <c r="J56" s="44">
        <f t="shared" si="9"/>
        <v>0</v>
      </c>
      <c r="K56" s="44">
        <f t="shared" si="9"/>
        <v>0</v>
      </c>
      <c r="L56" s="44">
        <f t="shared" si="9"/>
        <v>0</v>
      </c>
      <c r="M56" s="44">
        <f t="shared" si="9"/>
        <v>0</v>
      </c>
      <c r="N56" s="44">
        <f t="shared" si="9"/>
        <v>0</v>
      </c>
      <c r="O56" s="44">
        <f t="shared" si="8"/>
        <v>614303</v>
      </c>
    </row>
    <row r="57" spans="1:15" s="2" customFormat="1" ht="15" customHeight="1">
      <c r="A57" s="108" t="s">
        <v>86</v>
      </c>
      <c r="B57" s="120" t="s">
        <v>200</v>
      </c>
      <c r="C57" s="46">
        <v>56900</v>
      </c>
      <c r="D57" s="46">
        <v>28500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4">
        <f t="shared" si="8"/>
        <v>56900</v>
      </c>
    </row>
    <row r="58" spans="1:15" s="2" customFormat="1" ht="15" customHeight="1">
      <c r="A58" s="45" t="s">
        <v>262</v>
      </c>
      <c r="B58" s="120" t="s">
        <v>234</v>
      </c>
      <c r="C58" s="46">
        <v>10000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4">
        <f t="shared" si="8"/>
        <v>10000</v>
      </c>
    </row>
    <row r="59" spans="1:15" s="2" customFormat="1" ht="15" customHeight="1">
      <c r="A59" s="50" t="s">
        <v>270</v>
      </c>
      <c r="B59" s="51" t="s">
        <v>271</v>
      </c>
      <c r="C59" s="52">
        <v>15000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>
        <f t="shared" si="8"/>
        <v>15000</v>
      </c>
    </row>
    <row r="60" spans="1:15" s="2" customFormat="1" ht="29.25" customHeight="1">
      <c r="A60" s="45" t="s">
        <v>413</v>
      </c>
      <c r="B60" s="51" t="s">
        <v>414</v>
      </c>
      <c r="C60" s="46"/>
      <c r="D60" s="46"/>
      <c r="E60" s="46"/>
      <c r="F60" s="46">
        <v>150896</v>
      </c>
      <c r="G60" s="46"/>
      <c r="H60" s="46">
        <v>150896</v>
      </c>
      <c r="I60" s="46"/>
      <c r="J60" s="46"/>
      <c r="K60" s="46"/>
      <c r="L60" s="46"/>
      <c r="M60" s="46"/>
      <c r="N60" s="46"/>
      <c r="O60" s="53">
        <f t="shared" si="8"/>
        <v>150896</v>
      </c>
    </row>
    <row r="61" spans="1:15" s="2" customFormat="1" ht="31.5" customHeight="1">
      <c r="A61" s="45" t="s">
        <v>415</v>
      </c>
      <c r="B61" s="49" t="s">
        <v>416</v>
      </c>
      <c r="C61" s="46"/>
      <c r="D61" s="46"/>
      <c r="E61" s="46"/>
      <c r="F61" s="46">
        <v>262561</v>
      </c>
      <c r="G61" s="46"/>
      <c r="H61" s="46">
        <v>262561</v>
      </c>
      <c r="I61" s="46"/>
      <c r="J61" s="46"/>
      <c r="K61" s="46"/>
      <c r="L61" s="46"/>
      <c r="M61" s="46"/>
      <c r="N61" s="46"/>
      <c r="O61" s="53">
        <f>C61+F61+I61+L61</f>
        <v>262561</v>
      </c>
    </row>
    <row r="62" spans="1:15" s="106" customFormat="1" ht="43.5" customHeight="1">
      <c r="A62" s="121" t="s">
        <v>463</v>
      </c>
      <c r="B62" s="122" t="s">
        <v>464</v>
      </c>
      <c r="C62" s="102"/>
      <c r="D62" s="102"/>
      <c r="E62" s="102"/>
      <c r="F62" s="102">
        <f>20254+41554</f>
        <v>61808</v>
      </c>
      <c r="G62" s="102"/>
      <c r="H62" s="102">
        <f>20254+41554</f>
        <v>61808</v>
      </c>
      <c r="I62" s="102"/>
      <c r="J62" s="102"/>
      <c r="K62" s="102"/>
      <c r="L62" s="102"/>
      <c r="M62" s="102"/>
      <c r="N62" s="102"/>
      <c r="O62" s="123">
        <f>C62+F62+I62+L62</f>
        <v>61808</v>
      </c>
    </row>
    <row r="63" spans="1:15" s="2" customFormat="1" ht="17.25" customHeight="1">
      <c r="A63" s="45" t="s">
        <v>465</v>
      </c>
      <c r="B63" s="124" t="s">
        <v>466</v>
      </c>
      <c r="C63" s="125"/>
      <c r="D63" s="46"/>
      <c r="E63" s="46"/>
      <c r="F63" s="46">
        <v>57138</v>
      </c>
      <c r="G63" s="46"/>
      <c r="H63" s="46"/>
      <c r="I63" s="46"/>
      <c r="J63" s="46"/>
      <c r="K63" s="46"/>
      <c r="L63" s="46"/>
      <c r="M63" s="46"/>
      <c r="N63" s="46"/>
      <c r="O63" s="53">
        <f>C63+F63+I63+L63</f>
        <v>57138</v>
      </c>
    </row>
    <row r="64" spans="1:15" s="1" customFormat="1" ht="15.75" customHeight="1">
      <c r="A64" s="113"/>
      <c r="B64" s="198" t="s">
        <v>417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00"/>
    </row>
    <row r="65" spans="1:15" s="9" customFormat="1" ht="15.75" customHeight="1">
      <c r="A65" s="46"/>
      <c r="B65" s="100" t="s">
        <v>39</v>
      </c>
      <c r="C65" s="56">
        <f aca="true" t="shared" si="10" ref="C65:N65">C66+C102</f>
        <v>1529525</v>
      </c>
      <c r="D65" s="56">
        <f t="shared" si="10"/>
        <v>14200</v>
      </c>
      <c r="E65" s="56">
        <f t="shared" si="10"/>
        <v>87025</v>
      </c>
      <c r="F65" s="56">
        <f t="shared" si="10"/>
        <v>794331</v>
      </c>
      <c r="G65" s="56">
        <f t="shared" si="10"/>
        <v>417600</v>
      </c>
      <c r="H65" s="56">
        <f t="shared" si="10"/>
        <v>347731</v>
      </c>
      <c r="I65" s="56">
        <f t="shared" si="10"/>
        <v>1335300</v>
      </c>
      <c r="J65" s="56">
        <f t="shared" si="10"/>
        <v>0</v>
      </c>
      <c r="K65" s="56">
        <f t="shared" si="10"/>
        <v>935300</v>
      </c>
      <c r="L65" s="56">
        <f t="shared" si="10"/>
        <v>0</v>
      </c>
      <c r="M65" s="56">
        <f t="shared" si="10"/>
        <v>0</v>
      </c>
      <c r="N65" s="56">
        <f t="shared" si="10"/>
        <v>0</v>
      </c>
      <c r="O65" s="44">
        <f aca="true" t="shared" si="11" ref="O65:O100">C65+F65+I65+L65</f>
        <v>3659156</v>
      </c>
    </row>
    <row r="66" spans="1:15" s="9" customFormat="1" ht="15.75" customHeight="1">
      <c r="A66" s="44" t="s">
        <v>72</v>
      </c>
      <c r="B66" s="100" t="s">
        <v>52</v>
      </c>
      <c r="C66" s="56">
        <f aca="true" t="shared" si="12" ref="C66:N66">SUM(C67:C89)</f>
        <v>1509925</v>
      </c>
      <c r="D66" s="56">
        <f t="shared" si="12"/>
        <v>0</v>
      </c>
      <c r="E66" s="56">
        <f t="shared" si="12"/>
        <v>87025</v>
      </c>
      <c r="F66" s="56">
        <f t="shared" si="12"/>
        <v>347731</v>
      </c>
      <c r="G66" s="56">
        <f t="shared" si="12"/>
        <v>0</v>
      </c>
      <c r="H66" s="56">
        <f t="shared" si="12"/>
        <v>347731</v>
      </c>
      <c r="I66" s="56">
        <f t="shared" si="12"/>
        <v>1335300</v>
      </c>
      <c r="J66" s="56">
        <f t="shared" si="12"/>
        <v>0</v>
      </c>
      <c r="K66" s="56">
        <f t="shared" si="12"/>
        <v>935300</v>
      </c>
      <c r="L66" s="56">
        <f t="shared" si="12"/>
        <v>0</v>
      </c>
      <c r="M66" s="56">
        <f t="shared" si="12"/>
        <v>0</v>
      </c>
      <c r="N66" s="56">
        <f t="shared" si="12"/>
        <v>0</v>
      </c>
      <c r="O66" s="44">
        <f t="shared" si="11"/>
        <v>3192956</v>
      </c>
    </row>
    <row r="67" spans="1:15" s="2" customFormat="1" ht="45" customHeight="1">
      <c r="A67" s="108" t="s">
        <v>87</v>
      </c>
      <c r="B67" s="51" t="s">
        <v>235</v>
      </c>
      <c r="C67" s="46">
        <v>97000</v>
      </c>
      <c r="D67" s="46"/>
      <c r="E67" s="46">
        <v>35000</v>
      </c>
      <c r="F67" s="46"/>
      <c r="G67" s="46"/>
      <c r="H67" s="46"/>
      <c r="I67" s="46"/>
      <c r="J67" s="46"/>
      <c r="K67" s="46"/>
      <c r="L67" s="46"/>
      <c r="M67" s="46"/>
      <c r="N67" s="46"/>
      <c r="O67" s="44">
        <f t="shared" si="11"/>
        <v>97000</v>
      </c>
    </row>
    <row r="68" spans="1:15" s="13" customFormat="1" ht="29.25" customHeight="1">
      <c r="A68" s="108" t="s">
        <v>88</v>
      </c>
      <c r="B68" s="109" t="s">
        <v>236</v>
      </c>
      <c r="C68" s="55">
        <f>55000</f>
        <v>55000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4">
        <f t="shared" si="11"/>
        <v>55000</v>
      </c>
    </row>
    <row r="69" spans="1:15" s="2" customFormat="1" ht="43.5" customHeight="1">
      <c r="A69" s="108" t="s">
        <v>89</v>
      </c>
      <c r="B69" s="109" t="s">
        <v>288</v>
      </c>
      <c r="C69" s="46">
        <v>20000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4">
        <f t="shared" si="11"/>
        <v>20000</v>
      </c>
    </row>
    <row r="70" spans="1:15" s="2" customFormat="1" ht="29.25" customHeight="1">
      <c r="A70" s="108" t="s">
        <v>138</v>
      </c>
      <c r="B70" s="109" t="s">
        <v>467</v>
      </c>
      <c r="C70" s="46">
        <v>53900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4">
        <f t="shared" si="11"/>
        <v>53900</v>
      </c>
    </row>
    <row r="71" spans="1:15" s="9" customFormat="1" ht="30" customHeight="1">
      <c r="A71" s="108" t="s">
        <v>139</v>
      </c>
      <c r="B71" s="109" t="s">
        <v>418</v>
      </c>
      <c r="C71" s="54">
        <v>38000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4">
        <f t="shared" si="11"/>
        <v>38000</v>
      </c>
    </row>
    <row r="72" spans="1:15" s="9" customFormat="1" ht="43.5" customHeight="1">
      <c r="A72" s="108" t="s">
        <v>140</v>
      </c>
      <c r="B72" s="109" t="s">
        <v>237</v>
      </c>
      <c r="C72" s="46">
        <v>303000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4">
        <f t="shared" si="11"/>
        <v>303000</v>
      </c>
    </row>
    <row r="73" spans="1:15" s="2" customFormat="1" ht="17.25" customHeight="1">
      <c r="A73" s="108" t="s">
        <v>141</v>
      </c>
      <c r="B73" s="51" t="s">
        <v>266</v>
      </c>
      <c r="C73" s="46">
        <v>6000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4">
        <f t="shared" si="11"/>
        <v>6000</v>
      </c>
    </row>
    <row r="74" spans="1:15" s="9" customFormat="1" ht="17.25" customHeight="1">
      <c r="A74" s="108" t="s">
        <v>142</v>
      </c>
      <c r="B74" s="109" t="s">
        <v>40</v>
      </c>
      <c r="C74" s="46">
        <v>15000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4">
        <f t="shared" si="11"/>
        <v>15000</v>
      </c>
    </row>
    <row r="75" spans="1:15" s="13" customFormat="1" ht="29.25" customHeight="1">
      <c r="A75" s="108" t="s">
        <v>143</v>
      </c>
      <c r="B75" s="109" t="s">
        <v>239</v>
      </c>
      <c r="C75" s="55">
        <f>185000-5000-5000</f>
        <v>175000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4">
        <f t="shared" si="11"/>
        <v>175000</v>
      </c>
    </row>
    <row r="76" spans="1:15" s="13" customFormat="1" ht="43.5" customHeight="1">
      <c r="A76" s="108" t="s">
        <v>144</v>
      </c>
      <c r="B76" s="109" t="s">
        <v>468</v>
      </c>
      <c r="C76" s="55">
        <v>40000</v>
      </c>
      <c r="D76" s="55"/>
      <c r="E76" s="55">
        <v>40000</v>
      </c>
      <c r="F76" s="55"/>
      <c r="G76" s="55"/>
      <c r="H76" s="55"/>
      <c r="I76" s="55"/>
      <c r="J76" s="55"/>
      <c r="K76" s="55"/>
      <c r="L76" s="55"/>
      <c r="M76" s="55"/>
      <c r="N76" s="55"/>
      <c r="O76" s="44">
        <f t="shared" si="11"/>
        <v>40000</v>
      </c>
    </row>
    <row r="77" spans="1:15" s="2" customFormat="1" ht="16.5" customHeight="1">
      <c r="A77" s="108" t="s">
        <v>265</v>
      </c>
      <c r="B77" s="51" t="s">
        <v>419</v>
      </c>
      <c r="C77" s="46">
        <v>10000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4">
        <f t="shared" si="11"/>
        <v>10000</v>
      </c>
    </row>
    <row r="78" spans="1:15" s="2" customFormat="1" ht="16.5" customHeight="1">
      <c r="A78" s="108" t="s">
        <v>303</v>
      </c>
      <c r="B78" s="51" t="s">
        <v>238</v>
      </c>
      <c r="C78" s="46">
        <v>12000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4">
        <f>C78+F78+I78+L78</f>
        <v>12000</v>
      </c>
    </row>
    <row r="79" spans="1:15" s="2" customFormat="1" ht="16.5" customHeight="1">
      <c r="A79" s="108" t="s">
        <v>421</v>
      </c>
      <c r="B79" s="109" t="s">
        <v>469</v>
      </c>
      <c r="C79" s="46">
        <v>23000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4">
        <f>C79+F79+I79+L79</f>
        <v>23000</v>
      </c>
    </row>
    <row r="80" spans="1:15" s="2" customFormat="1" ht="44.25" customHeight="1">
      <c r="A80" s="111" t="s">
        <v>423</v>
      </c>
      <c r="B80" s="105" t="s">
        <v>420</v>
      </c>
      <c r="C80" s="46">
        <f>24800-12775</f>
        <v>12025</v>
      </c>
      <c r="D80" s="46"/>
      <c r="E80" s="46">
        <v>12025</v>
      </c>
      <c r="F80" s="102">
        <f>12775+15925</f>
        <v>28700</v>
      </c>
      <c r="G80" s="102"/>
      <c r="H80" s="102">
        <f>12775+15925</f>
        <v>28700</v>
      </c>
      <c r="I80" s="46"/>
      <c r="J80" s="46"/>
      <c r="K80" s="46"/>
      <c r="L80" s="46"/>
      <c r="M80" s="46"/>
      <c r="N80" s="46"/>
      <c r="O80" s="44">
        <f t="shared" si="11"/>
        <v>40725</v>
      </c>
    </row>
    <row r="81" spans="1:15" s="13" customFormat="1" ht="30" customHeight="1">
      <c r="A81" s="108" t="s">
        <v>424</v>
      </c>
      <c r="B81" s="51" t="s">
        <v>422</v>
      </c>
      <c r="C81" s="55"/>
      <c r="D81" s="55"/>
      <c r="E81" s="55"/>
      <c r="F81" s="55">
        <v>2223</v>
      </c>
      <c r="G81" s="55"/>
      <c r="H81" s="55">
        <v>2223</v>
      </c>
      <c r="I81" s="55"/>
      <c r="J81" s="55"/>
      <c r="K81" s="55"/>
      <c r="L81" s="55"/>
      <c r="M81" s="55"/>
      <c r="N81" s="55"/>
      <c r="O81" s="44">
        <f t="shared" si="11"/>
        <v>2223</v>
      </c>
    </row>
    <row r="82" spans="1:15" s="2" customFormat="1" ht="30.75" customHeight="1">
      <c r="A82" s="108" t="s">
        <v>470</v>
      </c>
      <c r="B82" s="51" t="s">
        <v>471</v>
      </c>
      <c r="C82" s="46"/>
      <c r="D82" s="46"/>
      <c r="E82" s="46"/>
      <c r="F82" s="46">
        <v>215075</v>
      </c>
      <c r="G82" s="46"/>
      <c r="H82" s="46">
        <v>215075</v>
      </c>
      <c r="I82" s="46"/>
      <c r="J82" s="46"/>
      <c r="K82" s="46"/>
      <c r="L82" s="46"/>
      <c r="M82" s="46"/>
      <c r="N82" s="46"/>
      <c r="O82" s="44">
        <f t="shared" si="11"/>
        <v>215075</v>
      </c>
    </row>
    <row r="83" spans="1:15" s="2" customFormat="1" ht="44.25" customHeight="1">
      <c r="A83" s="108" t="s">
        <v>472</v>
      </c>
      <c r="B83" s="51" t="s">
        <v>599</v>
      </c>
      <c r="C83" s="46"/>
      <c r="D83" s="46"/>
      <c r="E83" s="46"/>
      <c r="F83" s="46">
        <v>39199</v>
      </c>
      <c r="G83" s="46"/>
      <c r="H83" s="46">
        <v>39199</v>
      </c>
      <c r="I83" s="46"/>
      <c r="J83" s="46"/>
      <c r="K83" s="46"/>
      <c r="L83" s="46"/>
      <c r="M83" s="46"/>
      <c r="N83" s="46"/>
      <c r="O83" s="44">
        <f t="shared" si="11"/>
        <v>39199</v>
      </c>
    </row>
    <row r="84" spans="1:15" s="2" customFormat="1" ht="44.25" customHeight="1">
      <c r="A84" s="108" t="s">
        <v>473</v>
      </c>
      <c r="B84" s="51" t="s">
        <v>600</v>
      </c>
      <c r="C84" s="46"/>
      <c r="D84" s="46"/>
      <c r="E84" s="46"/>
      <c r="F84" s="46">
        <v>20356</v>
      </c>
      <c r="G84" s="46"/>
      <c r="H84" s="46">
        <v>20356</v>
      </c>
      <c r="I84" s="46"/>
      <c r="J84" s="46"/>
      <c r="K84" s="46"/>
      <c r="L84" s="46"/>
      <c r="M84" s="46"/>
      <c r="N84" s="46"/>
      <c r="O84" s="44">
        <f t="shared" si="11"/>
        <v>20356</v>
      </c>
    </row>
    <row r="85" spans="1:15" s="106" customFormat="1" ht="44.25" customHeight="1">
      <c r="A85" s="111" t="s">
        <v>474</v>
      </c>
      <c r="B85" s="105" t="s">
        <v>601</v>
      </c>
      <c r="C85" s="102"/>
      <c r="D85" s="102"/>
      <c r="E85" s="102"/>
      <c r="F85" s="102">
        <v>6000</v>
      </c>
      <c r="G85" s="102"/>
      <c r="H85" s="102">
        <v>6000</v>
      </c>
      <c r="I85" s="102"/>
      <c r="J85" s="102"/>
      <c r="K85" s="102"/>
      <c r="L85" s="102"/>
      <c r="M85" s="102"/>
      <c r="N85" s="102"/>
      <c r="O85" s="101">
        <f t="shared" si="11"/>
        <v>6000</v>
      </c>
    </row>
    <row r="86" spans="1:15" s="106" customFormat="1" ht="59.25" customHeight="1">
      <c r="A86" s="111" t="s">
        <v>475</v>
      </c>
      <c r="B86" s="105" t="s">
        <v>476</v>
      </c>
      <c r="C86" s="102"/>
      <c r="D86" s="102"/>
      <c r="E86" s="102"/>
      <c r="F86" s="102"/>
      <c r="G86" s="102"/>
      <c r="H86" s="102"/>
      <c r="I86" s="102">
        <f>1273300+62000</f>
        <v>1335300</v>
      </c>
      <c r="J86" s="102"/>
      <c r="K86" s="102">
        <f>873300+62000</f>
        <v>935300</v>
      </c>
      <c r="L86" s="102"/>
      <c r="M86" s="102"/>
      <c r="N86" s="102"/>
      <c r="O86" s="101">
        <f t="shared" si="11"/>
        <v>1335300</v>
      </c>
    </row>
    <row r="87" spans="1:15" s="106" customFormat="1" ht="32.25" customHeight="1">
      <c r="A87" s="111" t="s">
        <v>477</v>
      </c>
      <c r="B87" s="81" t="s">
        <v>478</v>
      </c>
      <c r="C87" s="102"/>
      <c r="D87" s="102"/>
      <c r="E87" s="102"/>
      <c r="F87" s="102">
        <v>27950</v>
      </c>
      <c r="G87" s="102"/>
      <c r="H87" s="102">
        <v>27950</v>
      </c>
      <c r="I87" s="102"/>
      <c r="J87" s="102"/>
      <c r="K87" s="102"/>
      <c r="L87" s="102"/>
      <c r="M87" s="102"/>
      <c r="N87" s="102"/>
      <c r="O87" s="101">
        <f t="shared" si="11"/>
        <v>27950</v>
      </c>
    </row>
    <row r="88" spans="1:15" s="115" customFormat="1" ht="30.75" customHeight="1">
      <c r="A88" s="111" t="s">
        <v>479</v>
      </c>
      <c r="B88" s="81" t="s">
        <v>480</v>
      </c>
      <c r="C88" s="102"/>
      <c r="D88" s="110"/>
      <c r="E88" s="110"/>
      <c r="F88" s="102">
        <v>8228</v>
      </c>
      <c r="G88" s="102"/>
      <c r="H88" s="102">
        <v>8228</v>
      </c>
      <c r="I88" s="110"/>
      <c r="J88" s="110"/>
      <c r="K88" s="110"/>
      <c r="L88" s="110"/>
      <c r="M88" s="110"/>
      <c r="N88" s="110"/>
      <c r="O88" s="101">
        <f t="shared" si="11"/>
        <v>8228</v>
      </c>
    </row>
    <row r="89" spans="1:15" s="1" customFormat="1" ht="29.25" customHeight="1">
      <c r="A89" s="46" t="s">
        <v>73</v>
      </c>
      <c r="B89" s="51" t="s">
        <v>240</v>
      </c>
      <c r="C89" s="46">
        <f aca="true" t="shared" si="13" ref="C89:O89">SUM(C90:C101)</f>
        <v>650000</v>
      </c>
      <c r="D89" s="44">
        <f t="shared" si="13"/>
        <v>0</v>
      </c>
      <c r="E89" s="46">
        <f t="shared" si="13"/>
        <v>0</v>
      </c>
      <c r="F89" s="44">
        <f t="shared" si="13"/>
        <v>0</v>
      </c>
      <c r="G89" s="44">
        <f t="shared" si="13"/>
        <v>0</v>
      </c>
      <c r="H89" s="44">
        <f t="shared" si="13"/>
        <v>0</v>
      </c>
      <c r="I89" s="44">
        <f t="shared" si="13"/>
        <v>0</v>
      </c>
      <c r="J89" s="44">
        <f t="shared" si="13"/>
        <v>0</v>
      </c>
      <c r="K89" s="44">
        <f t="shared" si="13"/>
        <v>0</v>
      </c>
      <c r="L89" s="44">
        <f t="shared" si="13"/>
        <v>0</v>
      </c>
      <c r="M89" s="44">
        <f t="shared" si="13"/>
        <v>0</v>
      </c>
      <c r="N89" s="44">
        <f t="shared" si="13"/>
        <v>0</v>
      </c>
      <c r="O89" s="44">
        <f t="shared" si="13"/>
        <v>650000</v>
      </c>
    </row>
    <row r="90" spans="1:15" s="2" customFormat="1" ht="15" customHeight="1">
      <c r="A90" s="45" t="s">
        <v>90</v>
      </c>
      <c r="B90" s="51" t="s">
        <v>12</v>
      </c>
      <c r="C90" s="46">
        <f>14700+1900</f>
        <v>16600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4">
        <f t="shared" si="11"/>
        <v>16600</v>
      </c>
    </row>
    <row r="91" spans="1:15" s="2" customFormat="1" ht="15" customHeight="1">
      <c r="A91" s="108" t="s">
        <v>91</v>
      </c>
      <c r="B91" s="51" t="s">
        <v>11</v>
      </c>
      <c r="C91" s="46">
        <f>7600+1600</f>
        <v>9200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4">
        <f t="shared" si="11"/>
        <v>9200</v>
      </c>
    </row>
    <row r="92" spans="1:15" s="1" customFormat="1" ht="15" customHeight="1">
      <c r="A92" s="108" t="s">
        <v>92</v>
      </c>
      <c r="B92" s="51" t="s">
        <v>10</v>
      </c>
      <c r="C92" s="46">
        <f>5200+500</f>
        <v>5700</v>
      </c>
      <c r="D92" s="44">
        <f aca="true" t="shared" si="14" ref="D92:N92">SUM(D93)</f>
        <v>0</v>
      </c>
      <c r="E92" s="44">
        <f t="shared" si="14"/>
        <v>0</v>
      </c>
      <c r="F92" s="44">
        <f t="shared" si="14"/>
        <v>0</v>
      </c>
      <c r="G92" s="44">
        <f t="shared" si="14"/>
        <v>0</v>
      </c>
      <c r="H92" s="44">
        <f t="shared" si="14"/>
        <v>0</v>
      </c>
      <c r="I92" s="44">
        <f t="shared" si="14"/>
        <v>0</v>
      </c>
      <c r="J92" s="44"/>
      <c r="K92" s="44">
        <f t="shared" si="14"/>
        <v>0</v>
      </c>
      <c r="L92" s="44">
        <f t="shared" si="14"/>
        <v>0</v>
      </c>
      <c r="M92" s="44">
        <f t="shared" si="14"/>
        <v>0</v>
      </c>
      <c r="N92" s="44">
        <f t="shared" si="14"/>
        <v>0</v>
      </c>
      <c r="O92" s="44">
        <f t="shared" si="11"/>
        <v>5700</v>
      </c>
    </row>
    <row r="93" spans="1:15" s="2" customFormat="1" ht="15" customHeight="1">
      <c r="A93" s="108" t="s">
        <v>145</v>
      </c>
      <c r="B93" s="51" t="s">
        <v>9</v>
      </c>
      <c r="C93" s="46">
        <f>14700+4000</f>
        <v>18700</v>
      </c>
      <c r="D93" s="46"/>
      <c r="E93" s="46"/>
      <c r="F93" s="44"/>
      <c r="G93" s="46"/>
      <c r="H93" s="46"/>
      <c r="I93" s="44"/>
      <c r="J93" s="44"/>
      <c r="K93" s="46"/>
      <c r="L93" s="44"/>
      <c r="M93" s="46"/>
      <c r="N93" s="46"/>
      <c r="O93" s="44">
        <f t="shared" si="11"/>
        <v>18700</v>
      </c>
    </row>
    <row r="94" spans="1:15" s="2" customFormat="1" ht="15" customHeight="1">
      <c r="A94" s="108" t="s">
        <v>146</v>
      </c>
      <c r="B94" s="51" t="s">
        <v>8</v>
      </c>
      <c r="C94" s="46">
        <f>11900+1500</f>
        <v>13400</v>
      </c>
      <c r="D94" s="46"/>
      <c r="E94" s="46"/>
      <c r="F94" s="44"/>
      <c r="G94" s="46"/>
      <c r="H94" s="46"/>
      <c r="I94" s="44"/>
      <c r="J94" s="44"/>
      <c r="K94" s="46"/>
      <c r="L94" s="44"/>
      <c r="M94" s="46"/>
      <c r="N94" s="46"/>
      <c r="O94" s="44">
        <f t="shared" si="11"/>
        <v>13400</v>
      </c>
    </row>
    <row r="95" spans="1:15" s="2" customFormat="1" ht="15" customHeight="1">
      <c r="A95" s="108" t="s">
        <v>147</v>
      </c>
      <c r="B95" s="51" t="s">
        <v>7</v>
      </c>
      <c r="C95" s="46">
        <f>11500+1000</f>
        <v>12500</v>
      </c>
      <c r="D95" s="46"/>
      <c r="E95" s="46"/>
      <c r="F95" s="44"/>
      <c r="G95" s="46"/>
      <c r="H95" s="46"/>
      <c r="I95" s="44"/>
      <c r="J95" s="44"/>
      <c r="K95" s="46"/>
      <c r="L95" s="44"/>
      <c r="M95" s="46"/>
      <c r="N95" s="46"/>
      <c r="O95" s="44">
        <f t="shared" si="11"/>
        <v>12500</v>
      </c>
    </row>
    <row r="96" spans="1:15" s="2" customFormat="1" ht="15" customHeight="1">
      <c r="A96" s="108" t="s">
        <v>148</v>
      </c>
      <c r="B96" s="51" t="s">
        <v>6</v>
      </c>
      <c r="C96" s="46">
        <f>10500+1500</f>
        <v>12000</v>
      </c>
      <c r="D96" s="46"/>
      <c r="E96" s="46"/>
      <c r="F96" s="44"/>
      <c r="G96" s="46"/>
      <c r="H96" s="46"/>
      <c r="I96" s="44"/>
      <c r="J96" s="44"/>
      <c r="K96" s="46"/>
      <c r="L96" s="44"/>
      <c r="M96" s="46"/>
      <c r="N96" s="46"/>
      <c r="O96" s="44">
        <f t="shared" si="11"/>
        <v>12000</v>
      </c>
    </row>
    <row r="97" spans="1:15" s="2" customFormat="1" ht="15" customHeight="1">
      <c r="A97" s="108" t="s">
        <v>149</v>
      </c>
      <c r="B97" s="51" t="s">
        <v>5</v>
      </c>
      <c r="C97" s="46">
        <f>7600+1300</f>
        <v>8900</v>
      </c>
      <c r="D97" s="46"/>
      <c r="E97" s="46"/>
      <c r="F97" s="44"/>
      <c r="G97" s="46"/>
      <c r="H97" s="46"/>
      <c r="I97" s="44"/>
      <c r="J97" s="44"/>
      <c r="K97" s="46"/>
      <c r="L97" s="44"/>
      <c r="M97" s="46"/>
      <c r="N97" s="46"/>
      <c r="O97" s="44">
        <f t="shared" si="11"/>
        <v>8900</v>
      </c>
    </row>
    <row r="98" spans="1:15" s="2" customFormat="1" ht="15" customHeight="1">
      <c r="A98" s="108" t="s">
        <v>150</v>
      </c>
      <c r="B98" s="51" t="s">
        <v>4</v>
      </c>
      <c r="C98" s="46">
        <f>11500+3900</f>
        <v>15400</v>
      </c>
      <c r="D98" s="46"/>
      <c r="E98" s="46"/>
      <c r="F98" s="44"/>
      <c r="G98" s="46"/>
      <c r="H98" s="46"/>
      <c r="I98" s="44"/>
      <c r="J98" s="44"/>
      <c r="K98" s="46"/>
      <c r="L98" s="44"/>
      <c r="M98" s="46"/>
      <c r="N98" s="46"/>
      <c r="O98" s="44">
        <f t="shared" si="11"/>
        <v>15400</v>
      </c>
    </row>
    <row r="99" spans="1:15" s="2" customFormat="1" ht="15" customHeight="1">
      <c r="A99" s="126" t="s">
        <v>151</v>
      </c>
      <c r="B99" s="51" t="s">
        <v>3</v>
      </c>
      <c r="C99" s="46">
        <f>10600+1100</f>
        <v>11700</v>
      </c>
      <c r="D99" s="46"/>
      <c r="E99" s="46"/>
      <c r="F99" s="44"/>
      <c r="G99" s="46"/>
      <c r="H99" s="46"/>
      <c r="I99" s="44"/>
      <c r="J99" s="44"/>
      <c r="K99" s="46"/>
      <c r="L99" s="44"/>
      <c r="M99" s="46"/>
      <c r="N99" s="46"/>
      <c r="O99" s="44">
        <f t="shared" si="11"/>
        <v>11700</v>
      </c>
    </row>
    <row r="100" spans="1:15" s="2" customFormat="1" ht="15" customHeight="1">
      <c r="A100" s="126" t="s">
        <v>152</v>
      </c>
      <c r="B100" s="51" t="s">
        <v>2</v>
      </c>
      <c r="C100" s="46">
        <f>7600+3300</f>
        <v>10900</v>
      </c>
      <c r="D100" s="46"/>
      <c r="E100" s="46"/>
      <c r="F100" s="44"/>
      <c r="G100" s="46"/>
      <c r="H100" s="46"/>
      <c r="I100" s="44"/>
      <c r="J100" s="44"/>
      <c r="K100" s="46"/>
      <c r="L100" s="44"/>
      <c r="M100" s="46"/>
      <c r="N100" s="46"/>
      <c r="O100" s="44">
        <f t="shared" si="11"/>
        <v>10900</v>
      </c>
    </row>
    <row r="101" spans="1:15" s="9" customFormat="1" ht="15" customHeight="1">
      <c r="A101" s="108" t="s">
        <v>208</v>
      </c>
      <c r="B101" s="109" t="s">
        <v>481</v>
      </c>
      <c r="C101" s="46">
        <f>500000+15000</f>
        <v>515000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4">
        <f>C101+F101+I101+L101</f>
        <v>515000</v>
      </c>
    </row>
    <row r="102" spans="1:15" s="2" customFormat="1" ht="18" customHeight="1">
      <c r="A102" s="44" t="s">
        <v>74</v>
      </c>
      <c r="B102" s="127" t="s">
        <v>153</v>
      </c>
      <c r="C102" s="44">
        <f>17400+2200</f>
        <v>19600</v>
      </c>
      <c r="D102" s="44">
        <v>14200</v>
      </c>
      <c r="E102" s="44"/>
      <c r="F102" s="44">
        <v>446600</v>
      </c>
      <c r="G102" s="44">
        <v>417600</v>
      </c>
      <c r="H102" s="44"/>
      <c r="I102" s="44"/>
      <c r="J102" s="44"/>
      <c r="K102" s="44"/>
      <c r="L102" s="44"/>
      <c r="M102" s="44"/>
      <c r="N102" s="44"/>
      <c r="O102" s="44">
        <f>C102+F102+I102+L102</f>
        <v>466200</v>
      </c>
    </row>
    <row r="103" spans="1:15" s="1" customFormat="1" ht="18.75" customHeight="1">
      <c r="A103" s="113"/>
      <c r="B103" s="201" t="s">
        <v>294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1:15" s="9" customFormat="1" ht="16.5" customHeight="1">
      <c r="A104" s="46"/>
      <c r="B104" s="100" t="s">
        <v>39</v>
      </c>
      <c r="C104" s="56">
        <f aca="true" t="shared" si="15" ref="C104:O104">C105+C111+C118+C122</f>
        <v>153000</v>
      </c>
      <c r="D104" s="56">
        <f t="shared" si="15"/>
        <v>0</v>
      </c>
      <c r="E104" s="56">
        <f t="shared" si="15"/>
        <v>80000</v>
      </c>
      <c r="F104" s="56">
        <f t="shared" si="15"/>
        <v>463193</v>
      </c>
      <c r="G104" s="56">
        <f t="shared" si="15"/>
        <v>183618</v>
      </c>
      <c r="H104" s="56">
        <f t="shared" si="15"/>
        <v>200000</v>
      </c>
      <c r="I104" s="56">
        <f t="shared" si="15"/>
        <v>0</v>
      </c>
      <c r="J104" s="56">
        <f t="shared" si="15"/>
        <v>0</v>
      </c>
      <c r="K104" s="56">
        <f t="shared" si="15"/>
        <v>0</v>
      </c>
      <c r="L104" s="56">
        <f t="shared" si="15"/>
        <v>833697</v>
      </c>
      <c r="M104" s="56">
        <f t="shared" si="15"/>
        <v>0</v>
      </c>
      <c r="N104" s="56">
        <f t="shared" si="15"/>
        <v>0</v>
      </c>
      <c r="O104" s="56">
        <f t="shared" si="15"/>
        <v>1449890</v>
      </c>
    </row>
    <row r="105" spans="1:15" s="9" customFormat="1" ht="30" customHeight="1">
      <c r="A105" s="44" t="s">
        <v>75</v>
      </c>
      <c r="B105" s="100" t="s">
        <v>301</v>
      </c>
      <c r="C105" s="56">
        <f>SUM(C106,C109,C108,C110)</f>
        <v>0</v>
      </c>
      <c r="D105" s="56">
        <f aca="true" t="shared" si="16" ref="D105:K105">SUM(D106,D109,D108,D110)</f>
        <v>0</v>
      </c>
      <c r="E105" s="56">
        <f t="shared" si="16"/>
        <v>0</v>
      </c>
      <c r="F105" s="56">
        <f t="shared" si="16"/>
        <v>0</v>
      </c>
      <c r="G105" s="56">
        <f t="shared" si="16"/>
        <v>0</v>
      </c>
      <c r="H105" s="56">
        <f t="shared" si="16"/>
        <v>0</v>
      </c>
      <c r="I105" s="56">
        <f t="shared" si="16"/>
        <v>0</v>
      </c>
      <c r="J105" s="56"/>
      <c r="K105" s="56">
        <f t="shared" si="16"/>
        <v>0</v>
      </c>
      <c r="L105" s="56">
        <f>SUM(L106:L110)</f>
        <v>101896</v>
      </c>
      <c r="M105" s="56">
        <f>SUM(M106:M110)</f>
        <v>0</v>
      </c>
      <c r="N105" s="56">
        <f>SUM(N106:N110)</f>
        <v>0</v>
      </c>
      <c r="O105" s="44">
        <f aca="true" t="shared" si="17" ref="O105:O125">C105+F105+I105+L105</f>
        <v>101896</v>
      </c>
    </row>
    <row r="106" spans="1:15" s="13" customFormat="1" ht="29.25" customHeight="1">
      <c r="A106" s="108" t="s">
        <v>93</v>
      </c>
      <c r="B106" s="109" t="s">
        <v>245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>
        <v>15000</v>
      </c>
      <c r="M106" s="55"/>
      <c r="N106" s="55"/>
      <c r="O106" s="44">
        <f t="shared" si="17"/>
        <v>15000</v>
      </c>
    </row>
    <row r="107" spans="1:15" s="13" customFormat="1" ht="29.25" customHeight="1">
      <c r="A107" s="128" t="s">
        <v>94</v>
      </c>
      <c r="B107" s="109" t="s">
        <v>242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>
        <f>19000+15132+5783+1</f>
        <v>39916</v>
      </c>
      <c r="M107" s="129"/>
      <c r="N107" s="129"/>
      <c r="O107" s="44">
        <f t="shared" si="17"/>
        <v>39916</v>
      </c>
    </row>
    <row r="108" spans="1:15" s="10" customFormat="1" ht="16.5" customHeight="1">
      <c r="A108" s="128" t="s">
        <v>95</v>
      </c>
      <c r="B108" s="130" t="s">
        <v>246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>
        <f>1000</f>
        <v>1000</v>
      </c>
      <c r="M108" s="52"/>
      <c r="N108" s="52"/>
      <c r="O108" s="44">
        <f t="shared" si="17"/>
        <v>1000</v>
      </c>
    </row>
    <row r="109" spans="1:15" s="13" customFormat="1" ht="30" customHeight="1">
      <c r="A109" s="108" t="s">
        <v>154</v>
      </c>
      <c r="B109" s="109" t="s">
        <v>289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>
        <f>25000+5980</f>
        <v>30980</v>
      </c>
      <c r="M109" s="55"/>
      <c r="N109" s="55"/>
      <c r="O109" s="44">
        <f t="shared" si="17"/>
        <v>30980</v>
      </c>
    </row>
    <row r="110" spans="1:15" s="10" customFormat="1" ht="18" customHeight="1">
      <c r="A110" s="108" t="s">
        <v>241</v>
      </c>
      <c r="B110" s="109" t="s">
        <v>41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>
        <f>9217+5783</f>
        <v>15000</v>
      </c>
      <c r="M110" s="46"/>
      <c r="N110" s="46"/>
      <c r="O110" s="44">
        <f t="shared" si="17"/>
        <v>15000</v>
      </c>
    </row>
    <row r="111" spans="1:15" s="11" customFormat="1" ht="18.75" customHeight="1">
      <c r="A111" s="44" t="s">
        <v>76</v>
      </c>
      <c r="B111" s="100" t="s">
        <v>52</v>
      </c>
      <c r="C111" s="44">
        <f aca="true" t="shared" si="18" ref="C111:N111">SUM(C112:C117)</f>
        <v>153000</v>
      </c>
      <c r="D111" s="44">
        <f t="shared" si="18"/>
        <v>0</v>
      </c>
      <c r="E111" s="44">
        <f t="shared" si="18"/>
        <v>80000</v>
      </c>
      <c r="F111" s="44">
        <f t="shared" si="18"/>
        <v>200993</v>
      </c>
      <c r="G111" s="44">
        <f t="shared" si="18"/>
        <v>818</v>
      </c>
      <c r="H111" s="44">
        <f t="shared" si="18"/>
        <v>200000</v>
      </c>
      <c r="I111" s="44">
        <f t="shared" si="18"/>
        <v>0</v>
      </c>
      <c r="J111" s="44">
        <f t="shared" si="18"/>
        <v>0</v>
      </c>
      <c r="K111" s="44">
        <f t="shared" si="18"/>
        <v>0</v>
      </c>
      <c r="L111" s="44">
        <f t="shared" si="18"/>
        <v>700000</v>
      </c>
      <c r="M111" s="44">
        <f t="shared" si="18"/>
        <v>0</v>
      </c>
      <c r="N111" s="44">
        <f t="shared" si="18"/>
        <v>0</v>
      </c>
      <c r="O111" s="44">
        <f t="shared" si="17"/>
        <v>1053993</v>
      </c>
    </row>
    <row r="112" spans="1:15" s="9" customFormat="1" ht="30" customHeight="1">
      <c r="A112" s="108" t="s">
        <v>194</v>
      </c>
      <c r="B112" s="109" t="s">
        <v>425</v>
      </c>
      <c r="C112" s="55">
        <v>20000</v>
      </c>
      <c r="D112" s="55"/>
      <c r="E112" s="55"/>
      <c r="F112" s="55"/>
      <c r="G112" s="55"/>
      <c r="H112" s="55"/>
      <c r="I112" s="55">
        <f>K112</f>
        <v>0</v>
      </c>
      <c r="J112" s="55"/>
      <c r="K112" s="55"/>
      <c r="L112" s="55"/>
      <c r="M112" s="55"/>
      <c r="N112" s="55"/>
      <c r="O112" s="44">
        <f t="shared" si="17"/>
        <v>20000</v>
      </c>
    </row>
    <row r="113" spans="1:15" s="13" customFormat="1" ht="58.5" customHeight="1">
      <c r="A113" s="45" t="s">
        <v>96</v>
      </c>
      <c r="B113" s="109" t="s">
        <v>482</v>
      </c>
      <c r="C113" s="55">
        <f>15000+30000+15000</f>
        <v>60000</v>
      </c>
      <c r="D113" s="55"/>
      <c r="E113" s="55">
        <v>15000</v>
      </c>
      <c r="F113" s="55">
        <v>200000</v>
      </c>
      <c r="G113" s="55"/>
      <c r="H113" s="55">
        <v>200000</v>
      </c>
      <c r="I113" s="55"/>
      <c r="J113" s="55"/>
      <c r="K113" s="55"/>
      <c r="L113" s="55"/>
      <c r="M113" s="55"/>
      <c r="N113" s="55"/>
      <c r="O113" s="44">
        <f t="shared" si="17"/>
        <v>260000</v>
      </c>
    </row>
    <row r="114" spans="1:15" s="9" customFormat="1" ht="30" customHeight="1">
      <c r="A114" s="108" t="s">
        <v>97</v>
      </c>
      <c r="B114" s="109" t="s">
        <v>483</v>
      </c>
      <c r="C114" s="55">
        <f>5000+3000</f>
        <v>8000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44">
        <f t="shared" si="17"/>
        <v>8000</v>
      </c>
    </row>
    <row r="115" spans="1:15" s="9" customFormat="1" ht="15.75" customHeight="1">
      <c r="A115" s="45" t="s">
        <v>220</v>
      </c>
      <c r="B115" s="109" t="s">
        <v>272</v>
      </c>
      <c r="C115" s="55"/>
      <c r="D115" s="56"/>
      <c r="E115" s="56"/>
      <c r="F115" s="55">
        <v>993</v>
      </c>
      <c r="G115" s="55">
        <v>818</v>
      </c>
      <c r="H115" s="55"/>
      <c r="I115" s="55"/>
      <c r="J115" s="56"/>
      <c r="K115" s="55"/>
      <c r="L115" s="56"/>
      <c r="M115" s="56"/>
      <c r="N115" s="56"/>
      <c r="O115" s="44">
        <f t="shared" si="17"/>
        <v>993</v>
      </c>
    </row>
    <row r="116" spans="1:15" s="9" customFormat="1" ht="30" customHeight="1">
      <c r="A116" s="45" t="s">
        <v>484</v>
      </c>
      <c r="B116" s="109" t="s">
        <v>297</v>
      </c>
      <c r="C116" s="55">
        <v>65000</v>
      </c>
      <c r="D116" s="56"/>
      <c r="E116" s="55">
        <v>65000</v>
      </c>
      <c r="F116" s="56"/>
      <c r="G116" s="56"/>
      <c r="H116" s="56"/>
      <c r="I116" s="55"/>
      <c r="J116" s="56"/>
      <c r="K116" s="55"/>
      <c r="L116" s="56"/>
      <c r="M116" s="56"/>
      <c r="N116" s="56"/>
      <c r="O116" s="44">
        <f t="shared" si="17"/>
        <v>65000</v>
      </c>
    </row>
    <row r="117" spans="1:15" s="13" customFormat="1" ht="16.5" customHeight="1">
      <c r="A117" s="45" t="s">
        <v>485</v>
      </c>
      <c r="B117" s="109" t="s">
        <v>195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>
        <v>700000</v>
      </c>
      <c r="M117" s="55"/>
      <c r="N117" s="55"/>
      <c r="O117" s="44">
        <f t="shared" si="17"/>
        <v>700000</v>
      </c>
    </row>
    <row r="118" spans="1:15" s="6" customFormat="1" ht="28.5" customHeight="1">
      <c r="A118" s="44" t="s">
        <v>77</v>
      </c>
      <c r="B118" s="100" t="s">
        <v>298</v>
      </c>
      <c r="C118" s="46">
        <f aca="true" t="shared" si="19" ref="C118:N118">SUM(C119:C121)</f>
        <v>0</v>
      </c>
      <c r="D118" s="46">
        <f t="shared" si="19"/>
        <v>0</v>
      </c>
      <c r="E118" s="46">
        <f t="shared" si="19"/>
        <v>0</v>
      </c>
      <c r="F118" s="46">
        <f t="shared" si="19"/>
        <v>0</v>
      </c>
      <c r="G118" s="46">
        <f t="shared" si="19"/>
        <v>0</v>
      </c>
      <c r="H118" s="46">
        <f t="shared" si="19"/>
        <v>0</v>
      </c>
      <c r="I118" s="46">
        <f t="shared" si="19"/>
        <v>0</v>
      </c>
      <c r="J118" s="46">
        <f t="shared" si="19"/>
        <v>0</v>
      </c>
      <c r="K118" s="46">
        <f t="shared" si="19"/>
        <v>0</v>
      </c>
      <c r="L118" s="44">
        <f t="shared" si="19"/>
        <v>23801</v>
      </c>
      <c r="M118" s="46">
        <f t="shared" si="19"/>
        <v>0</v>
      </c>
      <c r="N118" s="46">
        <f t="shared" si="19"/>
        <v>0</v>
      </c>
      <c r="O118" s="44">
        <f t="shared" si="17"/>
        <v>23801</v>
      </c>
    </row>
    <row r="119" spans="1:15" s="12" customFormat="1" ht="15.75" customHeight="1">
      <c r="A119" s="126" t="s">
        <v>98</v>
      </c>
      <c r="B119" s="51" t="s">
        <v>186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>
        <v>916</v>
      </c>
      <c r="M119" s="55"/>
      <c r="N119" s="55"/>
      <c r="O119" s="44">
        <f t="shared" si="17"/>
        <v>916</v>
      </c>
    </row>
    <row r="120" spans="1:15" s="12" customFormat="1" ht="15.75" customHeight="1">
      <c r="A120" s="126" t="s">
        <v>99</v>
      </c>
      <c r="B120" s="51" t="s">
        <v>187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>
        <v>22800</v>
      </c>
      <c r="M120" s="55"/>
      <c r="N120" s="55"/>
      <c r="O120" s="44">
        <f t="shared" si="17"/>
        <v>22800</v>
      </c>
    </row>
    <row r="121" spans="1:15" s="12" customFormat="1" ht="15.75" customHeight="1">
      <c r="A121" s="126" t="s">
        <v>100</v>
      </c>
      <c r="B121" s="51" t="s">
        <v>188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>
        <v>85</v>
      </c>
      <c r="M121" s="55"/>
      <c r="N121" s="55"/>
      <c r="O121" s="44">
        <f t="shared" si="17"/>
        <v>85</v>
      </c>
    </row>
    <row r="122" spans="1:15" s="6" customFormat="1" ht="28.5" customHeight="1">
      <c r="A122" s="131" t="s">
        <v>209</v>
      </c>
      <c r="B122" s="127" t="s">
        <v>210</v>
      </c>
      <c r="C122" s="56">
        <f>SUM(C123,C125)</f>
        <v>0</v>
      </c>
      <c r="D122" s="56">
        <f>SUM(D123,D125)</f>
        <v>0</v>
      </c>
      <c r="E122" s="56">
        <f>SUM(E123,E125)</f>
        <v>0</v>
      </c>
      <c r="F122" s="56">
        <f>SUM(F123,F124,F125)</f>
        <v>262200</v>
      </c>
      <c r="G122" s="56">
        <f aca="true" t="shared" si="20" ref="G122:O122">SUM(G123,G124,G125)</f>
        <v>182800</v>
      </c>
      <c r="H122" s="56">
        <f t="shared" si="20"/>
        <v>0</v>
      </c>
      <c r="I122" s="56">
        <f t="shared" si="20"/>
        <v>0</v>
      </c>
      <c r="J122" s="56">
        <f t="shared" si="20"/>
        <v>0</v>
      </c>
      <c r="K122" s="56">
        <f t="shared" si="20"/>
        <v>0</v>
      </c>
      <c r="L122" s="56">
        <f t="shared" si="20"/>
        <v>8000</v>
      </c>
      <c r="M122" s="56">
        <f t="shared" si="20"/>
        <v>0</v>
      </c>
      <c r="N122" s="56">
        <f t="shared" si="20"/>
        <v>0</v>
      </c>
      <c r="O122" s="56">
        <f t="shared" si="20"/>
        <v>270200</v>
      </c>
    </row>
    <row r="123" spans="1:15" s="9" customFormat="1" ht="30" customHeight="1">
      <c r="A123" s="108" t="s">
        <v>101</v>
      </c>
      <c r="B123" s="109" t="s">
        <v>243</v>
      </c>
      <c r="C123" s="46"/>
      <c r="D123" s="46"/>
      <c r="E123" s="46"/>
      <c r="F123" s="46">
        <v>152600</v>
      </c>
      <c r="G123" s="46">
        <v>123600</v>
      </c>
      <c r="H123" s="46"/>
      <c r="I123" s="46"/>
      <c r="J123" s="46"/>
      <c r="K123" s="46"/>
      <c r="L123" s="46"/>
      <c r="M123" s="46"/>
      <c r="N123" s="46"/>
      <c r="O123" s="44">
        <f t="shared" si="17"/>
        <v>152600</v>
      </c>
    </row>
    <row r="124" spans="1:15" s="9" customFormat="1" ht="16.5" customHeight="1">
      <c r="A124" s="108" t="s">
        <v>192</v>
      </c>
      <c r="B124" s="109" t="s">
        <v>244</v>
      </c>
      <c r="C124" s="55"/>
      <c r="D124" s="56"/>
      <c r="E124" s="56"/>
      <c r="F124" s="55">
        <v>77100</v>
      </c>
      <c r="G124" s="55">
        <v>59200</v>
      </c>
      <c r="H124" s="56"/>
      <c r="I124" s="56"/>
      <c r="J124" s="56"/>
      <c r="K124" s="56"/>
      <c r="L124" s="55">
        <v>8000</v>
      </c>
      <c r="M124" s="56"/>
      <c r="N124" s="56"/>
      <c r="O124" s="44">
        <f>C124+F124+I124+L124</f>
        <v>85100</v>
      </c>
    </row>
    <row r="125" spans="1:15" s="9" customFormat="1" ht="16.5" customHeight="1">
      <c r="A125" s="108" t="s">
        <v>486</v>
      </c>
      <c r="B125" s="109" t="s">
        <v>487</v>
      </c>
      <c r="C125" s="55"/>
      <c r="D125" s="56"/>
      <c r="E125" s="56"/>
      <c r="F125" s="55">
        <v>32500</v>
      </c>
      <c r="G125" s="55"/>
      <c r="H125" s="56"/>
      <c r="I125" s="56"/>
      <c r="J125" s="56"/>
      <c r="K125" s="56"/>
      <c r="L125" s="55"/>
      <c r="M125" s="56"/>
      <c r="N125" s="56"/>
      <c r="O125" s="44">
        <f t="shared" si="17"/>
        <v>32500</v>
      </c>
    </row>
    <row r="126" spans="1:15" s="1" customFormat="1" ht="18" customHeight="1">
      <c r="A126" s="113"/>
      <c r="B126" s="201" t="s">
        <v>426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</row>
    <row r="127" spans="1:15" s="9" customFormat="1" ht="18" customHeight="1">
      <c r="A127" s="46"/>
      <c r="B127" s="100" t="s">
        <v>39</v>
      </c>
      <c r="C127" s="56">
        <f>SUM(C128,C129,C130,C131,C132,C133,C134,C135,C139,C152)</f>
        <v>2437800</v>
      </c>
      <c r="D127" s="56">
        <f aca="true" t="shared" si="21" ref="D127:O127">SUM(D128,D129,D130,D131,D132,D133,D134,D135,D139,D152)</f>
        <v>1867400</v>
      </c>
      <c r="E127" s="56">
        <f t="shared" si="21"/>
        <v>36000</v>
      </c>
      <c r="F127" s="56">
        <f t="shared" si="21"/>
        <v>585437</v>
      </c>
      <c r="G127" s="56">
        <f t="shared" si="21"/>
        <v>0</v>
      </c>
      <c r="H127" s="56">
        <f t="shared" si="21"/>
        <v>585437</v>
      </c>
      <c r="I127" s="56">
        <f t="shared" si="21"/>
        <v>0</v>
      </c>
      <c r="J127" s="56">
        <f t="shared" si="21"/>
        <v>0</v>
      </c>
      <c r="K127" s="56">
        <f t="shared" si="21"/>
        <v>0</v>
      </c>
      <c r="L127" s="56">
        <f t="shared" si="21"/>
        <v>61760</v>
      </c>
      <c r="M127" s="56">
        <f t="shared" si="21"/>
        <v>0</v>
      </c>
      <c r="N127" s="56">
        <f t="shared" si="21"/>
        <v>2000</v>
      </c>
      <c r="O127" s="56">
        <f t="shared" si="21"/>
        <v>3084997</v>
      </c>
    </row>
    <row r="128" spans="1:15" s="6" customFormat="1" ht="17.25" customHeight="1">
      <c r="A128" s="44" t="s">
        <v>78</v>
      </c>
      <c r="B128" s="127" t="s">
        <v>17</v>
      </c>
      <c r="C128" s="44">
        <v>611500</v>
      </c>
      <c r="D128" s="44">
        <v>516000</v>
      </c>
      <c r="E128" s="44">
        <v>1000</v>
      </c>
      <c r="F128" s="44"/>
      <c r="G128" s="44"/>
      <c r="H128" s="44"/>
      <c r="I128" s="44"/>
      <c r="J128" s="44"/>
      <c r="K128" s="44"/>
      <c r="L128" s="44">
        <f>1300+1100</f>
        <v>2400</v>
      </c>
      <c r="M128" s="44"/>
      <c r="N128" s="44"/>
      <c r="O128" s="44">
        <f>C128+F128+I128+L128</f>
        <v>613900</v>
      </c>
    </row>
    <row r="129" spans="1:15" s="6" customFormat="1" ht="17.25" customHeight="1">
      <c r="A129" s="44" t="s">
        <v>113</v>
      </c>
      <c r="B129" s="100" t="s">
        <v>18</v>
      </c>
      <c r="C129" s="44">
        <v>182500</v>
      </c>
      <c r="D129" s="44">
        <v>153500</v>
      </c>
      <c r="E129" s="44"/>
      <c r="F129" s="44"/>
      <c r="G129" s="44"/>
      <c r="H129" s="44"/>
      <c r="I129" s="44"/>
      <c r="J129" s="44"/>
      <c r="K129" s="44"/>
      <c r="L129" s="44">
        <f>7800+6000</f>
        <v>13800</v>
      </c>
      <c r="M129" s="44"/>
      <c r="N129" s="44"/>
      <c r="O129" s="44">
        <f aca="true" t="shared" si="22" ref="O129:O134">C129+F129+I129+L129</f>
        <v>196300</v>
      </c>
    </row>
    <row r="130" spans="1:15" s="11" customFormat="1" ht="17.25" customHeight="1">
      <c r="A130" s="44" t="s">
        <v>114</v>
      </c>
      <c r="B130" s="100" t="s">
        <v>19</v>
      </c>
      <c r="C130" s="44">
        <v>602700</v>
      </c>
      <c r="D130" s="44">
        <v>535000</v>
      </c>
      <c r="E130" s="44"/>
      <c r="F130" s="44"/>
      <c r="G130" s="44"/>
      <c r="H130" s="44"/>
      <c r="I130" s="44"/>
      <c r="J130" s="44"/>
      <c r="K130" s="44"/>
      <c r="L130" s="44">
        <f>10700+17500</f>
        <v>28200</v>
      </c>
      <c r="M130" s="44"/>
      <c r="N130" s="44">
        <v>2000</v>
      </c>
      <c r="O130" s="44">
        <f t="shared" si="22"/>
        <v>630900</v>
      </c>
    </row>
    <row r="131" spans="1:15" s="11" customFormat="1" ht="17.25" customHeight="1">
      <c r="A131" s="44" t="s">
        <v>115</v>
      </c>
      <c r="B131" s="100" t="s">
        <v>155</v>
      </c>
      <c r="C131" s="44">
        <v>103800</v>
      </c>
      <c r="D131" s="44">
        <v>87000</v>
      </c>
      <c r="E131" s="44"/>
      <c r="F131" s="44"/>
      <c r="G131" s="44"/>
      <c r="H131" s="44"/>
      <c r="I131" s="44"/>
      <c r="J131" s="44"/>
      <c r="K131" s="44"/>
      <c r="L131" s="44">
        <f>100+500+1500</f>
        <v>2100</v>
      </c>
      <c r="M131" s="44"/>
      <c r="N131" s="44"/>
      <c r="O131" s="44">
        <f t="shared" si="22"/>
        <v>105900</v>
      </c>
    </row>
    <row r="132" spans="1:15" s="11" customFormat="1" ht="17.25" customHeight="1">
      <c r="A132" s="44" t="s">
        <v>116</v>
      </c>
      <c r="B132" s="100" t="s">
        <v>156</v>
      </c>
      <c r="C132" s="44">
        <v>90200</v>
      </c>
      <c r="D132" s="44">
        <v>75000</v>
      </c>
      <c r="E132" s="44"/>
      <c r="F132" s="44"/>
      <c r="G132" s="44"/>
      <c r="H132" s="44"/>
      <c r="I132" s="44"/>
      <c r="J132" s="44"/>
      <c r="K132" s="44"/>
      <c r="L132" s="44">
        <f>250+800</f>
        <v>1050</v>
      </c>
      <c r="M132" s="44"/>
      <c r="N132" s="44"/>
      <c r="O132" s="44">
        <f t="shared" si="22"/>
        <v>91250</v>
      </c>
    </row>
    <row r="133" spans="1:15" s="11" customFormat="1" ht="29.25" customHeight="1">
      <c r="A133" s="44" t="s">
        <v>117</v>
      </c>
      <c r="B133" s="100" t="s">
        <v>158</v>
      </c>
      <c r="C133" s="44">
        <v>95100</v>
      </c>
      <c r="D133" s="44">
        <v>77300</v>
      </c>
      <c r="E133" s="44"/>
      <c r="F133" s="44"/>
      <c r="G133" s="44"/>
      <c r="H133" s="44"/>
      <c r="I133" s="44"/>
      <c r="J133" s="44"/>
      <c r="K133" s="44"/>
      <c r="L133" s="44">
        <f>100+2000</f>
        <v>2100</v>
      </c>
      <c r="M133" s="44"/>
      <c r="N133" s="44"/>
      <c r="O133" s="44">
        <f t="shared" si="22"/>
        <v>97200</v>
      </c>
    </row>
    <row r="134" spans="1:15" s="11" customFormat="1" ht="17.25" customHeight="1">
      <c r="A134" s="44" t="s">
        <v>159</v>
      </c>
      <c r="B134" s="100" t="s">
        <v>157</v>
      </c>
      <c r="C134" s="44">
        <v>108500</v>
      </c>
      <c r="D134" s="44">
        <v>94600</v>
      </c>
      <c r="E134" s="44"/>
      <c r="F134" s="44"/>
      <c r="G134" s="44"/>
      <c r="H134" s="44"/>
      <c r="I134" s="44"/>
      <c r="J134" s="44"/>
      <c r="K134" s="44"/>
      <c r="L134" s="44">
        <f>200+1800</f>
        <v>2000</v>
      </c>
      <c r="M134" s="44"/>
      <c r="N134" s="44"/>
      <c r="O134" s="44">
        <f t="shared" si="22"/>
        <v>110500</v>
      </c>
    </row>
    <row r="135" spans="1:15" s="2" customFormat="1" ht="15" customHeight="1">
      <c r="A135" s="44" t="s">
        <v>160</v>
      </c>
      <c r="B135" s="127" t="s">
        <v>51</v>
      </c>
      <c r="C135" s="44">
        <f>SUM(C136:C138)</f>
        <v>383100</v>
      </c>
      <c r="D135" s="44">
        <f aca="true" t="shared" si="23" ref="D135:I135">SUM(D136:D138)</f>
        <v>329000</v>
      </c>
      <c r="E135" s="44">
        <f t="shared" si="23"/>
        <v>0</v>
      </c>
      <c r="F135" s="44">
        <f t="shared" si="23"/>
        <v>0</v>
      </c>
      <c r="G135" s="44">
        <f t="shared" si="23"/>
        <v>0</v>
      </c>
      <c r="H135" s="44">
        <f t="shared" si="23"/>
        <v>0</v>
      </c>
      <c r="I135" s="44">
        <f t="shared" si="23"/>
        <v>0</v>
      </c>
      <c r="J135" s="44"/>
      <c r="K135" s="44">
        <f>SUM(K136:K138)</f>
        <v>0</v>
      </c>
      <c r="L135" s="44">
        <f>SUM(L136:L138)</f>
        <v>10110</v>
      </c>
      <c r="M135" s="44">
        <f>SUM(M136:M138)</f>
        <v>0</v>
      </c>
      <c r="N135" s="44">
        <f>SUM(N136:N138)</f>
        <v>0</v>
      </c>
      <c r="O135" s="44">
        <f>C135+F135+I135+L135</f>
        <v>393210</v>
      </c>
    </row>
    <row r="136" spans="1:15" s="2" customFormat="1" ht="15.75" customHeight="1">
      <c r="A136" s="108" t="s">
        <v>488</v>
      </c>
      <c r="B136" s="51" t="s">
        <v>30</v>
      </c>
      <c r="C136" s="46">
        <v>354100</v>
      </c>
      <c r="D136" s="46">
        <v>329000</v>
      </c>
      <c r="E136" s="46"/>
      <c r="F136" s="44"/>
      <c r="G136" s="46"/>
      <c r="H136" s="46"/>
      <c r="I136" s="44"/>
      <c r="J136" s="44"/>
      <c r="K136" s="46"/>
      <c r="L136" s="46">
        <f>3110+7000</f>
        <v>10110</v>
      </c>
      <c r="M136" s="46"/>
      <c r="N136" s="46"/>
      <c r="O136" s="44">
        <f>C136+F136+I136+L136</f>
        <v>364210</v>
      </c>
    </row>
    <row r="137" spans="1:15" s="2" customFormat="1" ht="43.5" customHeight="1">
      <c r="A137" s="108" t="s">
        <v>489</v>
      </c>
      <c r="B137" s="51" t="s">
        <v>490</v>
      </c>
      <c r="C137" s="55">
        <f>8000+6000</f>
        <v>14000</v>
      </c>
      <c r="D137" s="46"/>
      <c r="E137" s="46"/>
      <c r="F137" s="56"/>
      <c r="G137" s="46"/>
      <c r="H137" s="46"/>
      <c r="I137" s="56"/>
      <c r="J137" s="56"/>
      <c r="K137" s="46"/>
      <c r="L137" s="56"/>
      <c r="M137" s="46"/>
      <c r="N137" s="46"/>
      <c r="O137" s="44">
        <f>C137+F137+I137+L137</f>
        <v>14000</v>
      </c>
    </row>
    <row r="138" spans="1:15" s="2" customFormat="1" ht="16.5" customHeight="1">
      <c r="A138" s="108" t="s">
        <v>491</v>
      </c>
      <c r="B138" s="51" t="s">
        <v>43</v>
      </c>
      <c r="C138" s="55">
        <v>15000</v>
      </c>
      <c r="D138" s="46"/>
      <c r="E138" s="46"/>
      <c r="F138" s="56"/>
      <c r="G138" s="46"/>
      <c r="H138" s="46"/>
      <c r="I138" s="56"/>
      <c r="J138" s="56"/>
      <c r="K138" s="46"/>
      <c r="L138" s="56"/>
      <c r="M138" s="46"/>
      <c r="N138" s="46"/>
      <c r="O138" s="44">
        <f>C138+F138+I138+L138</f>
        <v>15000</v>
      </c>
    </row>
    <row r="139" spans="1:15" s="9" customFormat="1" ht="17.25" customHeight="1">
      <c r="A139" s="44" t="s">
        <v>161</v>
      </c>
      <c r="B139" s="100" t="s">
        <v>28</v>
      </c>
      <c r="C139" s="56">
        <f aca="true" t="shared" si="24" ref="C139:N139">SUM(C140:C151)</f>
        <v>140400</v>
      </c>
      <c r="D139" s="56">
        <f t="shared" si="24"/>
        <v>0</v>
      </c>
      <c r="E139" s="56">
        <f t="shared" si="24"/>
        <v>0</v>
      </c>
      <c r="F139" s="56">
        <f t="shared" si="24"/>
        <v>585437</v>
      </c>
      <c r="G139" s="56">
        <f t="shared" si="24"/>
        <v>0</v>
      </c>
      <c r="H139" s="56">
        <f t="shared" si="24"/>
        <v>585437</v>
      </c>
      <c r="I139" s="56">
        <f t="shared" si="24"/>
        <v>0</v>
      </c>
      <c r="J139" s="56">
        <f t="shared" si="24"/>
        <v>0</v>
      </c>
      <c r="K139" s="56">
        <f t="shared" si="24"/>
        <v>0</v>
      </c>
      <c r="L139" s="56">
        <f t="shared" si="24"/>
        <v>0</v>
      </c>
      <c r="M139" s="56">
        <f t="shared" si="24"/>
        <v>0</v>
      </c>
      <c r="N139" s="56">
        <f t="shared" si="24"/>
        <v>0</v>
      </c>
      <c r="O139" s="44">
        <f aca="true" t="shared" si="25" ref="O139:O155">C139+F139+I139+L139</f>
        <v>725837</v>
      </c>
    </row>
    <row r="140" spans="1:15" s="13" customFormat="1" ht="30" customHeight="1">
      <c r="A140" s="108" t="s">
        <v>492</v>
      </c>
      <c r="B140" s="109" t="s">
        <v>299</v>
      </c>
      <c r="C140" s="55">
        <v>14900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4">
        <f t="shared" si="25"/>
        <v>14900</v>
      </c>
    </row>
    <row r="141" spans="1:15" s="13" customFormat="1" ht="45.75" customHeight="1">
      <c r="A141" s="108" t="s">
        <v>493</v>
      </c>
      <c r="B141" s="109" t="s">
        <v>427</v>
      </c>
      <c r="C141" s="55"/>
      <c r="D141" s="55"/>
      <c r="E141" s="55"/>
      <c r="F141" s="55">
        <f>522000+15312</f>
        <v>537312</v>
      </c>
      <c r="G141" s="55"/>
      <c r="H141" s="55">
        <f>522000+15312</f>
        <v>537312</v>
      </c>
      <c r="I141" s="55"/>
      <c r="J141" s="55"/>
      <c r="K141" s="55"/>
      <c r="L141" s="55"/>
      <c r="M141" s="55"/>
      <c r="N141" s="55"/>
      <c r="O141" s="44">
        <f t="shared" si="25"/>
        <v>537312</v>
      </c>
    </row>
    <row r="142" spans="1:15" s="13" customFormat="1" ht="29.25" customHeight="1">
      <c r="A142" s="108" t="s">
        <v>494</v>
      </c>
      <c r="B142" s="109" t="s">
        <v>247</v>
      </c>
      <c r="C142" s="55">
        <v>1500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44">
        <f t="shared" si="25"/>
        <v>1500</v>
      </c>
    </row>
    <row r="143" spans="1:15" s="13" customFormat="1" ht="28.5" customHeight="1">
      <c r="A143" s="45" t="s">
        <v>495</v>
      </c>
      <c r="B143" s="109" t="s">
        <v>248</v>
      </c>
      <c r="C143" s="55">
        <f>50000-11000</f>
        <v>39000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44">
        <f t="shared" si="25"/>
        <v>39000</v>
      </c>
    </row>
    <row r="144" spans="1:15" s="13" customFormat="1" ht="31.5" customHeight="1">
      <c r="A144" s="45" t="s">
        <v>496</v>
      </c>
      <c r="B144" s="109" t="s">
        <v>497</v>
      </c>
      <c r="C144" s="55">
        <f>9000+5000+11000</f>
        <v>25000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44">
        <f t="shared" si="25"/>
        <v>25000</v>
      </c>
    </row>
    <row r="145" spans="1:15" s="13" customFormat="1" ht="15.75" customHeight="1">
      <c r="A145" s="45" t="s">
        <v>498</v>
      </c>
      <c r="B145" s="109" t="s">
        <v>211</v>
      </c>
      <c r="C145" s="55">
        <v>15000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4">
        <f t="shared" si="25"/>
        <v>15000</v>
      </c>
    </row>
    <row r="146" spans="1:15" s="13" customFormat="1" ht="15.75" customHeight="1">
      <c r="A146" s="108" t="s">
        <v>499</v>
      </c>
      <c r="B146" s="109" t="s">
        <v>196</v>
      </c>
      <c r="C146" s="55">
        <v>5000</v>
      </c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44">
        <f t="shared" si="25"/>
        <v>5000</v>
      </c>
    </row>
    <row r="147" spans="1:15" s="9" customFormat="1" ht="30" customHeight="1">
      <c r="A147" s="108" t="s">
        <v>500</v>
      </c>
      <c r="B147" s="109" t="s">
        <v>501</v>
      </c>
      <c r="C147" s="46">
        <f>18000-3000</f>
        <v>15000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4">
        <f t="shared" si="25"/>
        <v>15000</v>
      </c>
    </row>
    <row r="148" spans="1:15" s="9" customFormat="1" ht="15.75" customHeight="1">
      <c r="A148" s="108" t="s">
        <v>502</v>
      </c>
      <c r="B148" s="109" t="s">
        <v>503</v>
      </c>
      <c r="C148" s="46">
        <v>8000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4">
        <f t="shared" si="25"/>
        <v>8000</v>
      </c>
    </row>
    <row r="149" spans="1:15" s="13" customFormat="1" ht="28.5" customHeight="1">
      <c r="A149" s="103" t="s">
        <v>504</v>
      </c>
      <c r="B149" s="109" t="s">
        <v>505</v>
      </c>
      <c r="C149" s="55">
        <v>10000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44">
        <f t="shared" si="25"/>
        <v>10000</v>
      </c>
    </row>
    <row r="150" spans="1:15" s="13" customFormat="1" ht="29.25" customHeight="1">
      <c r="A150" s="103" t="s">
        <v>506</v>
      </c>
      <c r="B150" s="109" t="s">
        <v>507</v>
      </c>
      <c r="C150" s="55">
        <v>7000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44">
        <f t="shared" si="25"/>
        <v>7000</v>
      </c>
    </row>
    <row r="151" spans="1:15" s="117" customFormat="1" ht="29.25" customHeight="1">
      <c r="A151" s="132" t="s">
        <v>508</v>
      </c>
      <c r="B151" s="112" t="s">
        <v>509</v>
      </c>
      <c r="C151" s="133"/>
      <c r="D151" s="133"/>
      <c r="E151" s="133"/>
      <c r="F151" s="133">
        <f>5645+42480</f>
        <v>48125</v>
      </c>
      <c r="G151" s="133"/>
      <c r="H151" s="133">
        <f>5645+42480</f>
        <v>48125</v>
      </c>
      <c r="I151" s="133"/>
      <c r="J151" s="133"/>
      <c r="K151" s="133"/>
      <c r="L151" s="133"/>
      <c r="M151" s="133"/>
      <c r="N151" s="133"/>
      <c r="O151" s="101">
        <f t="shared" si="25"/>
        <v>48125</v>
      </c>
    </row>
    <row r="152" spans="1:15" s="11" customFormat="1" ht="27.75" customHeight="1">
      <c r="A152" s="44" t="s">
        <v>162</v>
      </c>
      <c r="B152" s="100" t="s">
        <v>29</v>
      </c>
      <c r="C152" s="44">
        <f aca="true" t="shared" si="26" ref="C152:N152">SUM(C153:C155)</f>
        <v>120000</v>
      </c>
      <c r="D152" s="44">
        <f t="shared" si="26"/>
        <v>0</v>
      </c>
      <c r="E152" s="44">
        <f t="shared" si="26"/>
        <v>35000</v>
      </c>
      <c r="F152" s="44">
        <f t="shared" si="26"/>
        <v>0</v>
      </c>
      <c r="G152" s="44">
        <f t="shared" si="26"/>
        <v>0</v>
      </c>
      <c r="H152" s="44">
        <f t="shared" si="26"/>
        <v>0</v>
      </c>
      <c r="I152" s="44">
        <f t="shared" si="26"/>
        <v>0</v>
      </c>
      <c r="J152" s="44">
        <f t="shared" si="26"/>
        <v>0</v>
      </c>
      <c r="K152" s="44">
        <f t="shared" si="26"/>
        <v>0</v>
      </c>
      <c r="L152" s="44">
        <f t="shared" si="26"/>
        <v>0</v>
      </c>
      <c r="M152" s="44">
        <f t="shared" si="26"/>
        <v>0</v>
      </c>
      <c r="N152" s="44">
        <f t="shared" si="26"/>
        <v>0</v>
      </c>
      <c r="O152" s="44">
        <f t="shared" si="25"/>
        <v>120000</v>
      </c>
    </row>
    <row r="153" spans="1:15" s="9" customFormat="1" ht="30.75" customHeight="1">
      <c r="A153" s="47" t="s">
        <v>221</v>
      </c>
      <c r="B153" s="51" t="s">
        <v>428</v>
      </c>
      <c r="C153" s="46">
        <v>65000</v>
      </c>
      <c r="D153" s="48"/>
      <c r="E153" s="46">
        <v>35000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4">
        <f t="shared" si="25"/>
        <v>65000</v>
      </c>
    </row>
    <row r="154" spans="1:15" s="13" customFormat="1" ht="44.25" customHeight="1">
      <c r="A154" s="103" t="s">
        <v>222</v>
      </c>
      <c r="B154" s="109" t="s">
        <v>261</v>
      </c>
      <c r="C154" s="46">
        <v>10000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44">
        <f>C154+F154+I154+L154</f>
        <v>10000</v>
      </c>
    </row>
    <row r="155" spans="1:15" s="13" customFormat="1" ht="15.75" customHeight="1">
      <c r="A155" s="103" t="s">
        <v>223</v>
      </c>
      <c r="B155" s="109" t="s">
        <v>42</v>
      </c>
      <c r="C155" s="46">
        <f>40000+5000</f>
        <v>45000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44">
        <f t="shared" si="25"/>
        <v>45000</v>
      </c>
    </row>
    <row r="156" spans="1:15" s="1" customFormat="1" ht="17.25" customHeight="1">
      <c r="A156" s="113"/>
      <c r="B156" s="193" t="s">
        <v>296</v>
      </c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5"/>
    </row>
    <row r="157" spans="1:15" s="9" customFormat="1" ht="20.25" customHeight="1">
      <c r="A157" s="46"/>
      <c r="B157" s="100" t="s">
        <v>39</v>
      </c>
      <c r="C157" s="56">
        <f aca="true" t="shared" si="27" ref="C157:N157">SUM(C158:C160,C163:C166,C169:C169,C172,C175,C178,C181:C181,C187,C184,C190:C192,C193,C203)</f>
        <v>5395100</v>
      </c>
      <c r="D157" s="56">
        <f t="shared" si="27"/>
        <v>3749525</v>
      </c>
      <c r="E157" s="56">
        <f t="shared" si="27"/>
        <v>82300</v>
      </c>
      <c r="F157" s="56">
        <f t="shared" si="27"/>
        <v>374466</v>
      </c>
      <c r="G157" s="56">
        <f t="shared" si="27"/>
        <v>15675</v>
      </c>
      <c r="H157" s="56">
        <f t="shared" si="27"/>
        <v>224262</v>
      </c>
      <c r="I157" s="56">
        <f t="shared" si="27"/>
        <v>6077900</v>
      </c>
      <c r="J157" s="56">
        <f t="shared" si="27"/>
        <v>5843430</v>
      </c>
      <c r="K157" s="56">
        <f t="shared" si="27"/>
        <v>12009</v>
      </c>
      <c r="L157" s="56">
        <f t="shared" si="27"/>
        <v>292700</v>
      </c>
      <c r="M157" s="56">
        <f t="shared" si="27"/>
        <v>23000</v>
      </c>
      <c r="N157" s="56">
        <f t="shared" si="27"/>
        <v>4900</v>
      </c>
      <c r="O157" s="44">
        <f>C157+F157+I157+L157</f>
        <v>12140166</v>
      </c>
    </row>
    <row r="158" spans="1:15" s="12" customFormat="1" ht="19.5" customHeight="1">
      <c r="A158" s="56" t="s">
        <v>163</v>
      </c>
      <c r="B158" s="134" t="s">
        <v>14</v>
      </c>
      <c r="C158" s="56">
        <v>359200</v>
      </c>
      <c r="D158" s="56">
        <v>215100</v>
      </c>
      <c r="E158" s="56"/>
      <c r="F158" s="56"/>
      <c r="G158" s="56"/>
      <c r="H158" s="56"/>
      <c r="I158" s="56">
        <v>895629</v>
      </c>
      <c r="J158" s="56">
        <v>861698</v>
      </c>
      <c r="K158" s="56">
        <v>3000</v>
      </c>
      <c r="L158" s="56">
        <f>3930+530</f>
        <v>4460</v>
      </c>
      <c r="M158" s="56"/>
      <c r="N158" s="56"/>
      <c r="O158" s="44">
        <f aca="true" t="shared" si="28" ref="O158:O207">C158+F158+I158+L158</f>
        <v>1259289</v>
      </c>
    </row>
    <row r="159" spans="1:15" s="12" customFormat="1" ht="20.25" customHeight="1">
      <c r="A159" s="56" t="s">
        <v>164</v>
      </c>
      <c r="B159" s="127" t="s">
        <v>104</v>
      </c>
      <c r="C159" s="56">
        <v>323100</v>
      </c>
      <c r="D159" s="56">
        <v>223500</v>
      </c>
      <c r="E159" s="56"/>
      <c r="F159" s="56"/>
      <c r="G159" s="56"/>
      <c r="H159" s="56"/>
      <c r="I159" s="56">
        <v>539156</v>
      </c>
      <c r="J159" s="56">
        <v>519895</v>
      </c>
      <c r="K159" s="56"/>
      <c r="L159" s="56"/>
      <c r="M159" s="56"/>
      <c r="N159" s="56"/>
      <c r="O159" s="44">
        <f t="shared" si="28"/>
        <v>862256</v>
      </c>
    </row>
    <row r="160" spans="1:15" s="12" customFormat="1" ht="29.25" customHeight="1">
      <c r="A160" s="56" t="s">
        <v>165</v>
      </c>
      <c r="B160" s="127" t="s">
        <v>302</v>
      </c>
      <c r="C160" s="56">
        <f>C161+C162</f>
        <v>341900</v>
      </c>
      <c r="D160" s="56">
        <f aca="true" t="shared" si="29" ref="D160:L160">D161+D162</f>
        <v>235500</v>
      </c>
      <c r="E160" s="56">
        <f t="shared" si="29"/>
        <v>0</v>
      </c>
      <c r="F160" s="56">
        <f t="shared" si="29"/>
        <v>0</v>
      </c>
      <c r="G160" s="56">
        <f t="shared" si="29"/>
        <v>0</v>
      </c>
      <c r="H160" s="56">
        <f t="shared" si="29"/>
        <v>0</v>
      </c>
      <c r="I160" s="56">
        <f t="shared" si="29"/>
        <v>430209</v>
      </c>
      <c r="J160" s="56">
        <f>J161+J162</f>
        <v>414521</v>
      </c>
      <c r="K160" s="56">
        <f t="shared" si="29"/>
        <v>0</v>
      </c>
      <c r="L160" s="56">
        <f t="shared" si="29"/>
        <v>9560</v>
      </c>
      <c r="M160" s="56">
        <f>M161+M162</f>
        <v>0</v>
      </c>
      <c r="N160" s="56">
        <f>N161+N162</f>
        <v>0</v>
      </c>
      <c r="O160" s="44">
        <f t="shared" si="28"/>
        <v>781669</v>
      </c>
    </row>
    <row r="161" spans="1:15" s="12" customFormat="1" ht="15" customHeight="1">
      <c r="A161" s="126" t="s">
        <v>224</v>
      </c>
      <c r="B161" s="51" t="s">
        <v>33</v>
      </c>
      <c r="C161" s="55">
        <v>79830</v>
      </c>
      <c r="D161" s="55">
        <v>70300</v>
      </c>
      <c r="E161" s="55"/>
      <c r="F161" s="55"/>
      <c r="G161" s="55"/>
      <c r="H161" s="55"/>
      <c r="I161" s="55">
        <v>28728</v>
      </c>
      <c r="J161" s="55">
        <v>27726</v>
      </c>
      <c r="K161" s="55"/>
      <c r="L161" s="55">
        <v>9560</v>
      </c>
      <c r="M161" s="55"/>
      <c r="N161" s="55"/>
      <c r="O161" s="44">
        <f t="shared" si="28"/>
        <v>118118</v>
      </c>
    </row>
    <row r="162" spans="1:15" s="12" customFormat="1" ht="15" customHeight="1">
      <c r="A162" s="126" t="s">
        <v>225</v>
      </c>
      <c r="B162" s="51" t="s">
        <v>32</v>
      </c>
      <c r="C162" s="55">
        <v>262070</v>
      </c>
      <c r="D162" s="55">
        <v>165200</v>
      </c>
      <c r="E162" s="55"/>
      <c r="F162" s="55"/>
      <c r="G162" s="55"/>
      <c r="H162" s="55"/>
      <c r="I162" s="55">
        <v>401481</v>
      </c>
      <c r="J162" s="55">
        <v>386795</v>
      </c>
      <c r="K162" s="55"/>
      <c r="L162" s="55"/>
      <c r="M162" s="55"/>
      <c r="N162" s="55"/>
      <c r="O162" s="44">
        <f t="shared" si="28"/>
        <v>663551</v>
      </c>
    </row>
    <row r="163" spans="1:15" s="12" customFormat="1" ht="18.75" customHeight="1">
      <c r="A163" s="56" t="s">
        <v>166</v>
      </c>
      <c r="B163" s="127" t="s">
        <v>510</v>
      </c>
      <c r="C163" s="56">
        <v>360700</v>
      </c>
      <c r="D163" s="56">
        <v>256000</v>
      </c>
      <c r="E163" s="56"/>
      <c r="F163" s="56"/>
      <c r="G163" s="56"/>
      <c r="H163" s="56"/>
      <c r="I163" s="56">
        <v>786375</v>
      </c>
      <c r="J163" s="56">
        <v>753128</v>
      </c>
      <c r="K163" s="56"/>
      <c r="L163" s="56">
        <v>1460</v>
      </c>
      <c r="M163" s="56"/>
      <c r="N163" s="56"/>
      <c r="O163" s="44">
        <f>C163+F163+I163+L163</f>
        <v>1148535</v>
      </c>
    </row>
    <row r="164" spans="1:15" s="12" customFormat="1" ht="18.75" customHeight="1">
      <c r="A164" s="56" t="s">
        <v>167</v>
      </c>
      <c r="B164" s="127" t="s">
        <v>511</v>
      </c>
      <c r="C164" s="56">
        <v>307900</v>
      </c>
      <c r="D164" s="56">
        <v>223300</v>
      </c>
      <c r="E164" s="56"/>
      <c r="F164" s="56"/>
      <c r="G164" s="56"/>
      <c r="H164" s="56"/>
      <c r="I164" s="56">
        <v>577734</v>
      </c>
      <c r="J164" s="56">
        <v>554007</v>
      </c>
      <c r="K164" s="56"/>
      <c r="L164" s="56">
        <f>4000+200</f>
        <v>4200</v>
      </c>
      <c r="M164" s="56"/>
      <c r="N164" s="56"/>
      <c r="O164" s="44">
        <f>C164+F164+I164+L164</f>
        <v>889834</v>
      </c>
    </row>
    <row r="165" spans="1:15" s="12" customFormat="1" ht="18" customHeight="1">
      <c r="A165" s="56" t="s">
        <v>168</v>
      </c>
      <c r="B165" s="127" t="s">
        <v>20</v>
      </c>
      <c r="C165" s="56">
        <v>108300</v>
      </c>
      <c r="D165" s="56">
        <v>79600</v>
      </c>
      <c r="E165" s="56"/>
      <c r="F165" s="56"/>
      <c r="G165" s="56"/>
      <c r="H165" s="56"/>
      <c r="I165" s="56">
        <v>133886</v>
      </c>
      <c r="J165" s="56">
        <v>129846</v>
      </c>
      <c r="K165" s="56"/>
      <c r="L165" s="56"/>
      <c r="M165" s="56"/>
      <c r="N165" s="56"/>
      <c r="O165" s="44">
        <f t="shared" si="28"/>
        <v>242186</v>
      </c>
    </row>
    <row r="166" spans="1:15" s="12" customFormat="1" ht="30.75" customHeight="1">
      <c r="A166" s="56" t="s">
        <v>169</v>
      </c>
      <c r="B166" s="127" t="s">
        <v>34</v>
      </c>
      <c r="C166" s="56">
        <f>C167+C168</f>
        <v>226900</v>
      </c>
      <c r="D166" s="56">
        <f aca="true" t="shared" si="30" ref="D166:N166">D167+D168</f>
        <v>175900</v>
      </c>
      <c r="E166" s="56">
        <f t="shared" si="30"/>
        <v>0</v>
      </c>
      <c r="F166" s="56">
        <f t="shared" si="30"/>
        <v>0</v>
      </c>
      <c r="G166" s="56">
        <f t="shared" si="30"/>
        <v>0</v>
      </c>
      <c r="H166" s="56">
        <f t="shared" si="30"/>
        <v>0</v>
      </c>
      <c r="I166" s="56">
        <f t="shared" si="30"/>
        <v>284166</v>
      </c>
      <c r="J166" s="56">
        <f>J167+J168</f>
        <v>275011</v>
      </c>
      <c r="K166" s="56">
        <f t="shared" si="30"/>
        <v>0</v>
      </c>
      <c r="L166" s="56">
        <f t="shared" si="30"/>
        <v>3300</v>
      </c>
      <c r="M166" s="56">
        <f t="shared" si="30"/>
        <v>0</v>
      </c>
      <c r="N166" s="56">
        <f t="shared" si="30"/>
        <v>0</v>
      </c>
      <c r="O166" s="44">
        <f t="shared" si="28"/>
        <v>514366</v>
      </c>
    </row>
    <row r="167" spans="1:15" s="12" customFormat="1" ht="15" customHeight="1">
      <c r="A167" s="57" t="s">
        <v>273</v>
      </c>
      <c r="B167" s="51" t="s">
        <v>33</v>
      </c>
      <c r="C167" s="55">
        <v>49580</v>
      </c>
      <c r="D167" s="55">
        <v>47200</v>
      </c>
      <c r="E167" s="55"/>
      <c r="F167" s="55"/>
      <c r="G167" s="55"/>
      <c r="H167" s="55"/>
      <c r="I167" s="55">
        <v>51548</v>
      </c>
      <c r="J167" s="55">
        <v>49366</v>
      </c>
      <c r="K167" s="55"/>
      <c r="L167" s="55">
        <v>2700</v>
      </c>
      <c r="M167" s="55"/>
      <c r="N167" s="55"/>
      <c r="O167" s="44">
        <f t="shared" si="28"/>
        <v>103828</v>
      </c>
    </row>
    <row r="168" spans="1:15" s="12" customFormat="1" ht="15" customHeight="1">
      <c r="A168" s="126" t="s">
        <v>274</v>
      </c>
      <c r="B168" s="51" t="s">
        <v>32</v>
      </c>
      <c r="C168" s="55">
        <v>177320</v>
      </c>
      <c r="D168" s="55">
        <v>128700</v>
      </c>
      <c r="E168" s="55"/>
      <c r="F168" s="55"/>
      <c r="G168" s="55"/>
      <c r="H168" s="55"/>
      <c r="I168" s="55">
        <v>232618</v>
      </c>
      <c r="J168" s="55">
        <v>225645</v>
      </c>
      <c r="K168" s="55"/>
      <c r="L168" s="55">
        <f>400+200</f>
        <v>600</v>
      </c>
      <c r="M168" s="55"/>
      <c r="N168" s="55"/>
      <c r="O168" s="44">
        <f t="shared" si="28"/>
        <v>410538</v>
      </c>
    </row>
    <row r="169" spans="1:15" s="12" customFormat="1" ht="29.25" customHeight="1">
      <c r="A169" s="56" t="s">
        <v>170</v>
      </c>
      <c r="B169" s="127" t="s">
        <v>249</v>
      </c>
      <c r="C169" s="56">
        <f>C170+C171</f>
        <v>215200</v>
      </c>
      <c r="D169" s="56">
        <f>D170+D171</f>
        <v>175500</v>
      </c>
      <c r="E169" s="56">
        <f aca="true" t="shared" si="31" ref="E169:N169">E170+E171</f>
        <v>0</v>
      </c>
      <c r="F169" s="56">
        <f t="shared" si="31"/>
        <v>0</v>
      </c>
      <c r="G169" s="56">
        <f t="shared" si="31"/>
        <v>0</v>
      </c>
      <c r="H169" s="56">
        <f t="shared" si="31"/>
        <v>0</v>
      </c>
      <c r="I169" s="56">
        <f t="shared" si="31"/>
        <v>255986</v>
      </c>
      <c r="J169" s="56">
        <f>J170+J171</f>
        <v>248108</v>
      </c>
      <c r="K169" s="56">
        <f t="shared" si="31"/>
        <v>0</v>
      </c>
      <c r="L169" s="56">
        <f t="shared" si="31"/>
        <v>6820</v>
      </c>
      <c r="M169" s="56">
        <f t="shared" si="31"/>
        <v>0</v>
      </c>
      <c r="N169" s="56">
        <f t="shared" si="31"/>
        <v>0</v>
      </c>
      <c r="O169" s="44">
        <f>C169+F169+I169+L169</f>
        <v>478006</v>
      </c>
    </row>
    <row r="170" spans="1:15" s="12" customFormat="1" ht="15" customHeight="1">
      <c r="A170" s="58" t="s">
        <v>512</v>
      </c>
      <c r="B170" s="51" t="s">
        <v>33</v>
      </c>
      <c r="C170" s="55">
        <v>36190</v>
      </c>
      <c r="D170" s="55">
        <v>34400</v>
      </c>
      <c r="E170" s="55"/>
      <c r="F170" s="55"/>
      <c r="G170" s="55"/>
      <c r="H170" s="55"/>
      <c r="I170" s="55">
        <v>11761</v>
      </c>
      <c r="J170" s="55">
        <v>10833</v>
      </c>
      <c r="K170" s="55"/>
      <c r="L170" s="55">
        <v>6770</v>
      </c>
      <c r="M170" s="55"/>
      <c r="N170" s="55"/>
      <c r="O170" s="44">
        <f>C170+F170+I170+L170</f>
        <v>54721</v>
      </c>
    </row>
    <row r="171" spans="1:15" s="12" customFormat="1" ht="15" customHeight="1">
      <c r="A171" s="126" t="s">
        <v>513</v>
      </c>
      <c r="B171" s="51" t="s">
        <v>32</v>
      </c>
      <c r="C171" s="55">
        <v>179010</v>
      </c>
      <c r="D171" s="55">
        <v>141100</v>
      </c>
      <c r="E171" s="55"/>
      <c r="F171" s="55"/>
      <c r="G171" s="55"/>
      <c r="H171" s="55"/>
      <c r="I171" s="55">
        <v>244225</v>
      </c>
      <c r="J171" s="55">
        <v>237275</v>
      </c>
      <c r="K171" s="55"/>
      <c r="L171" s="55">
        <v>50</v>
      </c>
      <c r="M171" s="55"/>
      <c r="N171" s="55"/>
      <c r="O171" s="44">
        <f>C171+F171+I171+L171</f>
        <v>423285</v>
      </c>
    </row>
    <row r="172" spans="1:15" s="12" customFormat="1" ht="30.75" customHeight="1">
      <c r="A172" s="56" t="s">
        <v>171</v>
      </c>
      <c r="B172" s="127" t="s">
        <v>35</v>
      </c>
      <c r="C172" s="56">
        <f>C173+C174</f>
        <v>243200</v>
      </c>
      <c r="D172" s="56">
        <f>D173+D174</f>
        <v>190300</v>
      </c>
      <c r="E172" s="56">
        <f aca="true" t="shared" si="32" ref="E172:N172">E173+E174</f>
        <v>0</v>
      </c>
      <c r="F172" s="56">
        <f t="shared" si="32"/>
        <v>0</v>
      </c>
      <c r="G172" s="56">
        <f t="shared" si="32"/>
        <v>0</v>
      </c>
      <c r="H172" s="56">
        <f t="shared" si="32"/>
        <v>0</v>
      </c>
      <c r="I172" s="56">
        <f t="shared" si="32"/>
        <v>368300</v>
      </c>
      <c r="J172" s="56">
        <f>J173+J174</f>
        <v>354712</v>
      </c>
      <c r="K172" s="56">
        <f t="shared" si="32"/>
        <v>0</v>
      </c>
      <c r="L172" s="56">
        <f t="shared" si="32"/>
        <v>3750</v>
      </c>
      <c r="M172" s="56">
        <f t="shared" si="32"/>
        <v>0</v>
      </c>
      <c r="N172" s="56">
        <f t="shared" si="32"/>
        <v>0</v>
      </c>
      <c r="O172" s="44">
        <f t="shared" si="28"/>
        <v>615250</v>
      </c>
    </row>
    <row r="173" spans="1:15" s="12" customFormat="1" ht="15" customHeight="1">
      <c r="A173" s="58" t="s">
        <v>226</v>
      </c>
      <c r="B173" s="51" t="s">
        <v>33</v>
      </c>
      <c r="C173" s="55">
        <v>63870</v>
      </c>
      <c r="D173" s="55">
        <v>56440</v>
      </c>
      <c r="E173" s="55"/>
      <c r="F173" s="55"/>
      <c r="G173" s="55"/>
      <c r="H173" s="55"/>
      <c r="I173" s="55">
        <v>32794</v>
      </c>
      <c r="J173" s="55">
        <v>31000</v>
      </c>
      <c r="K173" s="55"/>
      <c r="L173" s="55">
        <v>3650</v>
      </c>
      <c r="M173" s="55"/>
      <c r="N173" s="55"/>
      <c r="O173" s="44">
        <f t="shared" si="28"/>
        <v>100314</v>
      </c>
    </row>
    <row r="174" spans="1:15" s="12" customFormat="1" ht="15" customHeight="1">
      <c r="A174" s="126" t="s">
        <v>227</v>
      </c>
      <c r="B174" s="51" t="s">
        <v>32</v>
      </c>
      <c r="C174" s="55">
        <v>179330</v>
      </c>
      <c r="D174" s="55">
        <v>133860</v>
      </c>
      <c r="E174" s="55"/>
      <c r="F174" s="55"/>
      <c r="G174" s="55"/>
      <c r="H174" s="55"/>
      <c r="I174" s="55">
        <v>335506</v>
      </c>
      <c r="J174" s="55">
        <v>323712</v>
      </c>
      <c r="K174" s="55"/>
      <c r="L174" s="55">
        <v>100</v>
      </c>
      <c r="M174" s="55"/>
      <c r="N174" s="55"/>
      <c r="O174" s="44">
        <f t="shared" si="28"/>
        <v>514936</v>
      </c>
    </row>
    <row r="175" spans="1:15" s="12" customFormat="1" ht="31.5" customHeight="1">
      <c r="A175" s="56" t="s">
        <v>172</v>
      </c>
      <c r="B175" s="127" t="s">
        <v>36</v>
      </c>
      <c r="C175" s="56">
        <f>C176+C177</f>
        <v>241600</v>
      </c>
      <c r="D175" s="56">
        <f aca="true" t="shared" si="33" ref="D175:L175">D176+D177</f>
        <v>199400</v>
      </c>
      <c r="E175" s="56">
        <f t="shared" si="33"/>
        <v>0</v>
      </c>
      <c r="F175" s="56">
        <f t="shared" si="33"/>
        <v>0</v>
      </c>
      <c r="G175" s="56">
        <f t="shared" si="33"/>
        <v>0</v>
      </c>
      <c r="H175" s="56">
        <f t="shared" si="33"/>
        <v>0</v>
      </c>
      <c r="I175" s="56">
        <f t="shared" si="33"/>
        <v>298888</v>
      </c>
      <c r="J175" s="56">
        <f>J176+J177</f>
        <v>289320</v>
      </c>
      <c r="K175" s="56">
        <f t="shared" si="33"/>
        <v>0</v>
      </c>
      <c r="L175" s="56">
        <f t="shared" si="33"/>
        <v>2840</v>
      </c>
      <c r="M175" s="56">
        <f>M176+M177</f>
        <v>0</v>
      </c>
      <c r="N175" s="56">
        <f>N176+N177</f>
        <v>0</v>
      </c>
      <c r="O175" s="44">
        <f t="shared" si="28"/>
        <v>543328</v>
      </c>
    </row>
    <row r="176" spans="1:15" s="12" customFormat="1" ht="15" customHeight="1">
      <c r="A176" s="58" t="s">
        <v>267</v>
      </c>
      <c r="B176" s="51" t="s">
        <v>33</v>
      </c>
      <c r="C176" s="55">
        <v>89770</v>
      </c>
      <c r="D176" s="55">
        <v>87000</v>
      </c>
      <c r="E176" s="55"/>
      <c r="F176" s="55"/>
      <c r="G176" s="55"/>
      <c r="H176" s="55"/>
      <c r="I176" s="55">
        <v>20800</v>
      </c>
      <c r="J176" s="55">
        <v>20500</v>
      </c>
      <c r="K176" s="55"/>
      <c r="L176" s="55">
        <v>2840</v>
      </c>
      <c r="M176" s="55"/>
      <c r="N176" s="55"/>
      <c r="O176" s="44">
        <f t="shared" si="28"/>
        <v>113410</v>
      </c>
    </row>
    <row r="177" spans="1:15" s="12" customFormat="1" ht="15" customHeight="1">
      <c r="A177" s="126" t="s">
        <v>268</v>
      </c>
      <c r="B177" s="51" t="s">
        <v>32</v>
      </c>
      <c r="C177" s="55">
        <v>151830</v>
      </c>
      <c r="D177" s="55">
        <v>112400</v>
      </c>
      <c r="E177" s="55"/>
      <c r="F177" s="55"/>
      <c r="G177" s="55"/>
      <c r="H177" s="55"/>
      <c r="I177" s="55">
        <v>278088</v>
      </c>
      <c r="J177" s="55">
        <v>268820</v>
      </c>
      <c r="K177" s="55"/>
      <c r="L177" s="55"/>
      <c r="M177" s="55"/>
      <c r="N177" s="55"/>
      <c r="O177" s="44">
        <f t="shared" si="28"/>
        <v>429918</v>
      </c>
    </row>
    <row r="178" spans="1:15" s="12" customFormat="1" ht="30" customHeight="1">
      <c r="A178" s="56" t="s">
        <v>173</v>
      </c>
      <c r="B178" s="127" t="s">
        <v>50</v>
      </c>
      <c r="C178" s="56">
        <f>C179+C180</f>
        <v>227500</v>
      </c>
      <c r="D178" s="56">
        <f aca="true" t="shared" si="34" ref="D178:L178">D179+D180</f>
        <v>168900</v>
      </c>
      <c r="E178" s="56">
        <f t="shared" si="34"/>
        <v>0</v>
      </c>
      <c r="F178" s="56">
        <f t="shared" si="34"/>
        <v>0</v>
      </c>
      <c r="G178" s="56">
        <f t="shared" si="34"/>
        <v>0</v>
      </c>
      <c r="H178" s="56">
        <f t="shared" si="34"/>
        <v>0</v>
      </c>
      <c r="I178" s="56">
        <f t="shared" si="34"/>
        <v>310615</v>
      </c>
      <c r="J178" s="56">
        <f>J179+J180</f>
        <v>300132</v>
      </c>
      <c r="K178" s="56">
        <f t="shared" si="34"/>
        <v>0</v>
      </c>
      <c r="L178" s="56">
        <f t="shared" si="34"/>
        <v>7440</v>
      </c>
      <c r="M178" s="56">
        <f>M179+M180</f>
        <v>0</v>
      </c>
      <c r="N178" s="56">
        <f>N179+N180</f>
        <v>0</v>
      </c>
      <c r="O178" s="44">
        <f t="shared" si="28"/>
        <v>545555</v>
      </c>
    </row>
    <row r="179" spans="1:15" s="12" customFormat="1" ht="15" customHeight="1">
      <c r="A179" s="126" t="s">
        <v>102</v>
      </c>
      <c r="B179" s="51" t="s">
        <v>33</v>
      </c>
      <c r="C179" s="55">
        <v>70762</v>
      </c>
      <c r="D179" s="55">
        <v>54500</v>
      </c>
      <c r="E179" s="55"/>
      <c r="F179" s="55"/>
      <c r="G179" s="55"/>
      <c r="H179" s="55"/>
      <c r="I179" s="55">
        <v>15800</v>
      </c>
      <c r="J179" s="55">
        <v>14470</v>
      </c>
      <c r="K179" s="55"/>
      <c r="L179" s="55">
        <v>7440</v>
      </c>
      <c r="M179" s="55"/>
      <c r="N179" s="55"/>
      <c r="O179" s="44">
        <f t="shared" si="28"/>
        <v>94002</v>
      </c>
    </row>
    <row r="180" spans="1:15" s="12" customFormat="1" ht="15" customHeight="1">
      <c r="A180" s="126" t="s">
        <v>103</v>
      </c>
      <c r="B180" s="51" t="s">
        <v>32</v>
      </c>
      <c r="C180" s="55">
        <v>156738</v>
      </c>
      <c r="D180" s="55">
        <v>114400</v>
      </c>
      <c r="E180" s="55"/>
      <c r="F180" s="55"/>
      <c r="G180" s="55"/>
      <c r="H180" s="55"/>
      <c r="I180" s="55">
        <v>294815</v>
      </c>
      <c r="J180" s="55">
        <v>285662</v>
      </c>
      <c r="K180" s="55"/>
      <c r="L180" s="55"/>
      <c r="M180" s="55"/>
      <c r="N180" s="55"/>
      <c r="O180" s="44">
        <f t="shared" si="28"/>
        <v>451553</v>
      </c>
    </row>
    <row r="181" spans="1:15" s="12" customFormat="1" ht="21" customHeight="1">
      <c r="A181" s="56" t="s">
        <v>174</v>
      </c>
      <c r="B181" s="135" t="s">
        <v>37</v>
      </c>
      <c r="C181" s="56">
        <f>C182+C183</f>
        <v>251100</v>
      </c>
      <c r="D181" s="56">
        <f aca="true" t="shared" si="35" ref="D181:N181">D182+D183</f>
        <v>204600</v>
      </c>
      <c r="E181" s="56">
        <f t="shared" si="35"/>
        <v>0</v>
      </c>
      <c r="F181" s="56">
        <f t="shared" si="35"/>
        <v>0</v>
      </c>
      <c r="G181" s="56">
        <f t="shared" si="35"/>
        <v>0</v>
      </c>
      <c r="H181" s="56">
        <f t="shared" si="35"/>
        <v>0</v>
      </c>
      <c r="I181" s="56">
        <f t="shared" si="35"/>
        <v>298256</v>
      </c>
      <c r="J181" s="56">
        <f>J182+J183</f>
        <v>288824</v>
      </c>
      <c r="K181" s="56">
        <f t="shared" si="35"/>
        <v>0</v>
      </c>
      <c r="L181" s="56">
        <f t="shared" si="35"/>
        <v>9910</v>
      </c>
      <c r="M181" s="56">
        <f t="shared" si="35"/>
        <v>0</v>
      </c>
      <c r="N181" s="56">
        <f t="shared" si="35"/>
        <v>0</v>
      </c>
      <c r="O181" s="44">
        <f t="shared" si="28"/>
        <v>559266</v>
      </c>
    </row>
    <row r="182" spans="1:15" s="12" customFormat="1" ht="15" customHeight="1">
      <c r="A182" s="126" t="s">
        <v>106</v>
      </c>
      <c r="B182" s="51" t="s">
        <v>33</v>
      </c>
      <c r="C182" s="55">
        <v>94755</v>
      </c>
      <c r="D182" s="55">
        <v>80070</v>
      </c>
      <c r="E182" s="55"/>
      <c r="F182" s="55"/>
      <c r="G182" s="55"/>
      <c r="H182" s="55"/>
      <c r="I182" s="55">
        <v>23601</v>
      </c>
      <c r="J182" s="55">
        <v>22200</v>
      </c>
      <c r="K182" s="55"/>
      <c r="L182" s="55">
        <v>9910</v>
      </c>
      <c r="M182" s="55"/>
      <c r="N182" s="55"/>
      <c r="O182" s="44">
        <f t="shared" si="28"/>
        <v>128266</v>
      </c>
    </row>
    <row r="183" spans="1:15" s="12" customFormat="1" ht="15" customHeight="1">
      <c r="A183" s="126" t="s">
        <v>107</v>
      </c>
      <c r="B183" s="51" t="s">
        <v>32</v>
      </c>
      <c r="C183" s="55">
        <v>156345</v>
      </c>
      <c r="D183" s="55">
        <v>124530</v>
      </c>
      <c r="E183" s="55"/>
      <c r="F183" s="55"/>
      <c r="G183" s="55"/>
      <c r="H183" s="55"/>
      <c r="I183" s="55">
        <v>274655</v>
      </c>
      <c r="J183" s="55">
        <v>266624</v>
      </c>
      <c r="K183" s="55"/>
      <c r="L183" s="55"/>
      <c r="M183" s="55"/>
      <c r="N183" s="55"/>
      <c r="O183" s="44">
        <f t="shared" si="28"/>
        <v>431000</v>
      </c>
    </row>
    <row r="184" spans="1:15" s="12" customFormat="1" ht="17.25" customHeight="1">
      <c r="A184" s="56" t="s">
        <v>175</v>
      </c>
      <c r="B184" s="127" t="s">
        <v>197</v>
      </c>
      <c r="C184" s="56">
        <f>C185+C186</f>
        <v>419800</v>
      </c>
      <c r="D184" s="56">
        <f aca="true" t="shared" si="36" ref="D184:N184">D185+D186</f>
        <v>385000</v>
      </c>
      <c r="E184" s="56">
        <f t="shared" si="36"/>
        <v>0</v>
      </c>
      <c r="F184" s="56">
        <f t="shared" si="36"/>
        <v>12800</v>
      </c>
      <c r="G184" s="56">
        <f t="shared" si="36"/>
        <v>0</v>
      </c>
      <c r="H184" s="56">
        <f t="shared" si="36"/>
        <v>0</v>
      </c>
      <c r="I184" s="56">
        <f t="shared" si="36"/>
        <v>252336</v>
      </c>
      <c r="J184" s="56">
        <f>J185+J186</f>
        <v>240595</v>
      </c>
      <c r="K184" s="56">
        <f t="shared" si="36"/>
        <v>0</v>
      </c>
      <c r="L184" s="56">
        <f t="shared" si="36"/>
        <v>58240</v>
      </c>
      <c r="M184" s="56">
        <f t="shared" si="36"/>
        <v>0</v>
      </c>
      <c r="N184" s="56">
        <f t="shared" si="36"/>
        <v>4300</v>
      </c>
      <c r="O184" s="44">
        <f>C184+F184+I184+L184</f>
        <v>743176</v>
      </c>
    </row>
    <row r="185" spans="1:15" s="12" customFormat="1" ht="15" customHeight="1">
      <c r="A185" s="126" t="s">
        <v>514</v>
      </c>
      <c r="B185" s="51" t="s">
        <v>33</v>
      </c>
      <c r="C185" s="55">
        <f>407540-12800</f>
        <v>394740</v>
      </c>
      <c r="D185" s="55">
        <v>360300</v>
      </c>
      <c r="E185" s="55"/>
      <c r="F185" s="55">
        <v>12800</v>
      </c>
      <c r="G185" s="55"/>
      <c r="H185" s="55"/>
      <c r="I185" s="55">
        <v>180609</v>
      </c>
      <c r="J185" s="55">
        <v>170395</v>
      </c>
      <c r="K185" s="55"/>
      <c r="L185" s="55">
        <f>140+470+57630</f>
        <v>58240</v>
      </c>
      <c r="M185" s="55"/>
      <c r="N185" s="55">
        <v>4300</v>
      </c>
      <c r="O185" s="44">
        <f>C185+F185+I185+L185</f>
        <v>646389</v>
      </c>
    </row>
    <row r="186" spans="1:15" s="12" customFormat="1" ht="15" customHeight="1">
      <c r="A186" s="126" t="s">
        <v>515</v>
      </c>
      <c r="B186" s="51" t="s">
        <v>32</v>
      </c>
      <c r="C186" s="55">
        <v>25060</v>
      </c>
      <c r="D186" s="55">
        <v>24700</v>
      </c>
      <c r="E186" s="55"/>
      <c r="F186" s="55"/>
      <c r="G186" s="55"/>
      <c r="H186" s="55"/>
      <c r="I186" s="55">
        <v>71727</v>
      </c>
      <c r="J186" s="55">
        <v>70200</v>
      </c>
      <c r="K186" s="55"/>
      <c r="L186" s="55"/>
      <c r="M186" s="55"/>
      <c r="N186" s="55"/>
      <c r="O186" s="44">
        <f>C186+F186+I186+L186</f>
        <v>96787</v>
      </c>
    </row>
    <row r="187" spans="1:15" s="12" customFormat="1" ht="20.25" customHeight="1">
      <c r="A187" s="56" t="s">
        <v>176</v>
      </c>
      <c r="B187" s="134" t="s">
        <v>38</v>
      </c>
      <c r="C187" s="56">
        <f>C188+C189</f>
        <v>301400</v>
      </c>
      <c r="D187" s="56">
        <f aca="true" t="shared" si="37" ref="D187:K187">D188+D189</f>
        <v>262000</v>
      </c>
      <c r="E187" s="56">
        <f t="shared" si="37"/>
        <v>0</v>
      </c>
      <c r="F187" s="56">
        <f t="shared" si="37"/>
        <v>0</v>
      </c>
      <c r="G187" s="56">
        <f t="shared" si="37"/>
        <v>0</v>
      </c>
      <c r="H187" s="56">
        <f t="shared" si="37"/>
        <v>0</v>
      </c>
      <c r="I187" s="56">
        <f t="shared" si="37"/>
        <v>196827</v>
      </c>
      <c r="J187" s="56">
        <f>J188+J189</f>
        <v>188350</v>
      </c>
      <c r="K187" s="56">
        <f t="shared" si="37"/>
        <v>0</v>
      </c>
      <c r="L187" s="56">
        <f>L188+L189</f>
        <v>36800</v>
      </c>
      <c r="M187" s="56">
        <f>M188+M189</f>
        <v>0</v>
      </c>
      <c r="N187" s="56">
        <f>N188+N189</f>
        <v>600</v>
      </c>
      <c r="O187" s="44">
        <f t="shared" si="28"/>
        <v>535027</v>
      </c>
    </row>
    <row r="188" spans="1:15" s="12" customFormat="1" ht="15" customHeight="1">
      <c r="A188" s="126" t="s">
        <v>228</v>
      </c>
      <c r="B188" s="51" t="s">
        <v>33</v>
      </c>
      <c r="C188" s="55">
        <v>259330</v>
      </c>
      <c r="D188" s="55">
        <v>228200</v>
      </c>
      <c r="E188" s="55"/>
      <c r="F188" s="55"/>
      <c r="G188" s="55"/>
      <c r="H188" s="55"/>
      <c r="I188" s="55">
        <v>93821</v>
      </c>
      <c r="J188" s="55">
        <v>88579</v>
      </c>
      <c r="K188" s="55"/>
      <c r="L188" s="55">
        <v>34070</v>
      </c>
      <c r="M188" s="55"/>
      <c r="N188" s="55">
        <v>600</v>
      </c>
      <c r="O188" s="44">
        <f t="shared" si="28"/>
        <v>387221</v>
      </c>
    </row>
    <row r="189" spans="1:15" s="12" customFormat="1" ht="15" customHeight="1">
      <c r="A189" s="126" t="s">
        <v>229</v>
      </c>
      <c r="B189" s="51" t="s">
        <v>32</v>
      </c>
      <c r="C189" s="55">
        <v>42070</v>
      </c>
      <c r="D189" s="55">
        <v>33800</v>
      </c>
      <c r="E189" s="55"/>
      <c r="F189" s="55"/>
      <c r="G189" s="55"/>
      <c r="H189" s="55"/>
      <c r="I189" s="55">
        <v>103006</v>
      </c>
      <c r="J189" s="55">
        <v>99771</v>
      </c>
      <c r="K189" s="55"/>
      <c r="L189" s="55">
        <f>30+2700</f>
        <v>2730</v>
      </c>
      <c r="M189" s="55"/>
      <c r="N189" s="55"/>
      <c r="O189" s="44">
        <f t="shared" si="28"/>
        <v>147806</v>
      </c>
    </row>
    <row r="190" spans="1:15" s="12" customFormat="1" ht="20.25" customHeight="1">
      <c r="A190" s="56" t="s">
        <v>177</v>
      </c>
      <c r="B190" s="134" t="s">
        <v>22</v>
      </c>
      <c r="C190" s="56">
        <f>405200+15000</f>
        <v>420200</v>
      </c>
      <c r="D190" s="56">
        <f>360000+14800</f>
        <v>374800</v>
      </c>
      <c r="E190" s="56"/>
      <c r="F190" s="56"/>
      <c r="G190" s="56"/>
      <c r="H190" s="56"/>
      <c r="I190" s="56">
        <v>229111</v>
      </c>
      <c r="J190" s="56">
        <v>216889</v>
      </c>
      <c r="K190" s="56"/>
      <c r="L190" s="56">
        <f>200+74220</f>
        <v>74420</v>
      </c>
      <c r="M190" s="56"/>
      <c r="N190" s="56"/>
      <c r="O190" s="44">
        <f t="shared" si="28"/>
        <v>723731</v>
      </c>
    </row>
    <row r="191" spans="1:15" s="12" customFormat="1" ht="19.5" customHeight="1">
      <c r="A191" s="56" t="s">
        <v>178</v>
      </c>
      <c r="B191" s="127" t="s">
        <v>53</v>
      </c>
      <c r="C191" s="56">
        <f>336600-15900</f>
        <v>320700</v>
      </c>
      <c r="D191" s="56">
        <f>320800-15675</f>
        <v>305125</v>
      </c>
      <c r="E191" s="56"/>
      <c r="F191" s="56">
        <v>15900</v>
      </c>
      <c r="G191" s="56">
        <v>15675</v>
      </c>
      <c r="H191" s="56"/>
      <c r="I191" s="56">
        <v>50604</v>
      </c>
      <c r="J191" s="56">
        <v>41000</v>
      </c>
      <c r="K191" s="56">
        <v>9009</v>
      </c>
      <c r="L191" s="56">
        <f>900+35090</f>
        <v>35990</v>
      </c>
      <c r="M191" s="56">
        <v>23000</v>
      </c>
      <c r="N191" s="56"/>
      <c r="O191" s="44">
        <f t="shared" si="28"/>
        <v>423194</v>
      </c>
    </row>
    <row r="192" spans="1:15" s="12" customFormat="1" ht="30.75" customHeight="1">
      <c r="A192" s="56" t="s">
        <v>179</v>
      </c>
      <c r="B192" s="127" t="s">
        <v>429</v>
      </c>
      <c r="C192" s="56">
        <v>95100</v>
      </c>
      <c r="D192" s="56">
        <v>75000</v>
      </c>
      <c r="E192" s="56"/>
      <c r="F192" s="56"/>
      <c r="G192" s="56"/>
      <c r="H192" s="56"/>
      <c r="I192" s="56">
        <v>48943</v>
      </c>
      <c r="J192" s="56">
        <v>48244</v>
      </c>
      <c r="K192" s="56"/>
      <c r="L192" s="56">
        <f>2000+31510</f>
        <v>33510</v>
      </c>
      <c r="M192" s="56"/>
      <c r="N192" s="56"/>
      <c r="O192" s="44">
        <f t="shared" si="28"/>
        <v>177553</v>
      </c>
    </row>
    <row r="193" spans="1:15" s="14" customFormat="1" ht="18" customHeight="1">
      <c r="A193" s="56" t="s">
        <v>180</v>
      </c>
      <c r="B193" s="100" t="s">
        <v>52</v>
      </c>
      <c r="C193" s="56">
        <f aca="true" t="shared" si="38" ref="C193:N193">SUM(C194:C202)</f>
        <v>440300</v>
      </c>
      <c r="D193" s="56">
        <f t="shared" si="38"/>
        <v>0</v>
      </c>
      <c r="E193" s="56">
        <f t="shared" si="38"/>
        <v>47300</v>
      </c>
      <c r="F193" s="56">
        <f t="shared" si="38"/>
        <v>345766</v>
      </c>
      <c r="G193" s="56">
        <f t="shared" si="38"/>
        <v>0</v>
      </c>
      <c r="H193" s="56">
        <f t="shared" si="38"/>
        <v>224262</v>
      </c>
      <c r="I193" s="56">
        <f t="shared" si="38"/>
        <v>120879</v>
      </c>
      <c r="J193" s="56">
        <f t="shared" si="38"/>
        <v>119150</v>
      </c>
      <c r="K193" s="56">
        <f t="shared" si="38"/>
        <v>0</v>
      </c>
      <c r="L193" s="56">
        <f t="shared" si="38"/>
        <v>0</v>
      </c>
      <c r="M193" s="56">
        <f t="shared" si="38"/>
        <v>0</v>
      </c>
      <c r="N193" s="56">
        <f t="shared" si="38"/>
        <v>0</v>
      </c>
      <c r="O193" s="44">
        <f t="shared" si="28"/>
        <v>906945</v>
      </c>
    </row>
    <row r="194" spans="1:15" s="12" customFormat="1" ht="15" customHeight="1">
      <c r="A194" s="126" t="s">
        <v>516</v>
      </c>
      <c r="B194" s="51" t="s">
        <v>44</v>
      </c>
      <c r="C194" s="55">
        <v>380000</v>
      </c>
      <c r="D194" s="55"/>
      <c r="E194" s="55"/>
      <c r="F194" s="56"/>
      <c r="G194" s="55"/>
      <c r="H194" s="55"/>
      <c r="I194" s="56"/>
      <c r="J194" s="56"/>
      <c r="K194" s="55"/>
      <c r="L194" s="56"/>
      <c r="M194" s="55"/>
      <c r="N194" s="55"/>
      <c r="O194" s="44">
        <f t="shared" si="28"/>
        <v>380000</v>
      </c>
    </row>
    <row r="195" spans="1:15" s="12" customFormat="1" ht="28.5" customHeight="1">
      <c r="A195" s="126" t="s">
        <v>517</v>
      </c>
      <c r="B195" s="51" t="s">
        <v>259</v>
      </c>
      <c r="C195" s="55">
        <v>5000</v>
      </c>
      <c r="D195" s="55"/>
      <c r="E195" s="55"/>
      <c r="F195" s="56"/>
      <c r="G195" s="55"/>
      <c r="H195" s="55"/>
      <c r="I195" s="56"/>
      <c r="J195" s="56"/>
      <c r="K195" s="55"/>
      <c r="L195" s="56"/>
      <c r="M195" s="55"/>
      <c r="N195" s="55"/>
      <c r="O195" s="44">
        <f t="shared" si="28"/>
        <v>5000</v>
      </c>
    </row>
    <row r="196" spans="1:15" s="15" customFormat="1" ht="27.75" customHeight="1">
      <c r="A196" s="126" t="s">
        <v>518</v>
      </c>
      <c r="B196" s="51" t="s">
        <v>193</v>
      </c>
      <c r="C196" s="55">
        <v>8000</v>
      </c>
      <c r="D196" s="55"/>
      <c r="E196" s="59"/>
      <c r="F196" s="60"/>
      <c r="G196" s="59"/>
      <c r="H196" s="59"/>
      <c r="I196" s="60"/>
      <c r="J196" s="60"/>
      <c r="K196" s="59"/>
      <c r="L196" s="60"/>
      <c r="M196" s="59"/>
      <c r="N196" s="59"/>
      <c r="O196" s="44">
        <f t="shared" si="28"/>
        <v>8000</v>
      </c>
    </row>
    <row r="197" spans="1:15" s="15" customFormat="1" ht="17.25" customHeight="1">
      <c r="A197" s="126" t="s">
        <v>519</v>
      </c>
      <c r="B197" s="51" t="s">
        <v>280</v>
      </c>
      <c r="C197" s="55"/>
      <c r="D197" s="55"/>
      <c r="E197" s="59"/>
      <c r="F197" s="55">
        <v>121504</v>
      </c>
      <c r="G197" s="59"/>
      <c r="H197" s="59"/>
      <c r="I197" s="60"/>
      <c r="J197" s="60"/>
      <c r="K197" s="59"/>
      <c r="L197" s="60"/>
      <c r="M197" s="59"/>
      <c r="N197" s="59"/>
      <c r="O197" s="44">
        <f t="shared" si="28"/>
        <v>121504</v>
      </c>
    </row>
    <row r="198" spans="1:15" s="136" customFormat="1" ht="29.25" customHeight="1">
      <c r="A198" s="126" t="s">
        <v>520</v>
      </c>
      <c r="B198" s="51" t="s">
        <v>431</v>
      </c>
      <c r="C198" s="55">
        <v>47300</v>
      </c>
      <c r="D198" s="55"/>
      <c r="E198" s="55">
        <v>47300</v>
      </c>
      <c r="F198" s="55"/>
      <c r="G198" s="55"/>
      <c r="H198" s="55"/>
      <c r="I198" s="56"/>
      <c r="J198" s="55"/>
      <c r="K198" s="55"/>
      <c r="L198" s="56"/>
      <c r="M198" s="55"/>
      <c r="N198" s="55"/>
      <c r="O198" s="44">
        <f t="shared" si="28"/>
        <v>47300</v>
      </c>
    </row>
    <row r="199" spans="1:15" s="136" customFormat="1" ht="29.25" customHeight="1">
      <c r="A199" s="137" t="s">
        <v>521</v>
      </c>
      <c r="B199" s="105" t="s">
        <v>522</v>
      </c>
      <c r="C199" s="133"/>
      <c r="D199" s="133"/>
      <c r="E199" s="133"/>
      <c r="F199" s="133">
        <f>7525+85305</f>
        <v>92830</v>
      </c>
      <c r="G199" s="133"/>
      <c r="H199" s="133">
        <f>7525+85305</f>
        <v>92830</v>
      </c>
      <c r="I199" s="138"/>
      <c r="J199" s="133"/>
      <c r="K199" s="133"/>
      <c r="L199" s="138"/>
      <c r="M199" s="133"/>
      <c r="N199" s="133"/>
      <c r="O199" s="101">
        <f t="shared" si="28"/>
        <v>92830</v>
      </c>
    </row>
    <row r="200" spans="1:15" s="136" customFormat="1" ht="29.25" customHeight="1">
      <c r="A200" s="137" t="s">
        <v>523</v>
      </c>
      <c r="B200" s="105" t="s">
        <v>524</v>
      </c>
      <c r="C200" s="133"/>
      <c r="D200" s="133"/>
      <c r="E200" s="133"/>
      <c r="F200" s="133">
        <f>45122+83252</f>
        <v>128374</v>
      </c>
      <c r="G200" s="133"/>
      <c r="H200" s="133">
        <f>45122+83252</f>
        <v>128374</v>
      </c>
      <c r="I200" s="138"/>
      <c r="J200" s="133"/>
      <c r="K200" s="133"/>
      <c r="L200" s="138"/>
      <c r="M200" s="133"/>
      <c r="N200" s="133"/>
      <c r="O200" s="101">
        <f t="shared" si="28"/>
        <v>128374</v>
      </c>
    </row>
    <row r="201" spans="1:15" s="136" customFormat="1" ht="29.25" customHeight="1">
      <c r="A201" s="137" t="s">
        <v>525</v>
      </c>
      <c r="B201" s="105" t="s">
        <v>526</v>
      </c>
      <c r="C201" s="133"/>
      <c r="D201" s="133"/>
      <c r="E201" s="133"/>
      <c r="F201" s="133">
        <v>3058</v>
      </c>
      <c r="G201" s="133"/>
      <c r="H201" s="133">
        <v>3058</v>
      </c>
      <c r="I201" s="138"/>
      <c r="J201" s="133"/>
      <c r="K201" s="133"/>
      <c r="L201" s="138"/>
      <c r="M201" s="133"/>
      <c r="N201" s="133"/>
      <c r="O201" s="101">
        <f>C201+F201+I201+L201</f>
        <v>3058</v>
      </c>
    </row>
    <row r="202" spans="1:15" s="12" customFormat="1" ht="17.25" customHeight="1">
      <c r="A202" s="126" t="s">
        <v>527</v>
      </c>
      <c r="B202" s="51" t="s">
        <v>528</v>
      </c>
      <c r="C202" s="55"/>
      <c r="D202" s="55"/>
      <c r="E202" s="55"/>
      <c r="F202" s="56"/>
      <c r="G202" s="55"/>
      <c r="H202" s="55"/>
      <c r="I202" s="56">
        <v>120879</v>
      </c>
      <c r="J202" s="55">
        <v>119150</v>
      </c>
      <c r="K202" s="55"/>
      <c r="L202" s="56"/>
      <c r="M202" s="55"/>
      <c r="N202" s="55"/>
      <c r="O202" s="44">
        <f t="shared" si="28"/>
        <v>120879</v>
      </c>
    </row>
    <row r="203" spans="1:15" s="11" customFormat="1" ht="29.25" customHeight="1">
      <c r="A203" s="44" t="s">
        <v>181</v>
      </c>
      <c r="B203" s="100" t="s">
        <v>29</v>
      </c>
      <c r="C203" s="44">
        <f>C204</f>
        <v>191000</v>
      </c>
      <c r="D203" s="44">
        <f aca="true" t="shared" si="39" ref="D203:N203">D204</f>
        <v>0</v>
      </c>
      <c r="E203" s="44">
        <f t="shared" si="39"/>
        <v>35000</v>
      </c>
      <c r="F203" s="44">
        <f t="shared" si="39"/>
        <v>0</v>
      </c>
      <c r="G203" s="44">
        <f t="shared" si="39"/>
        <v>0</v>
      </c>
      <c r="H203" s="44">
        <f t="shared" si="39"/>
        <v>0</v>
      </c>
      <c r="I203" s="44"/>
      <c r="J203" s="44"/>
      <c r="K203" s="44">
        <f t="shared" si="39"/>
        <v>0</v>
      </c>
      <c r="L203" s="44">
        <f t="shared" si="39"/>
        <v>0</v>
      </c>
      <c r="M203" s="44">
        <f t="shared" si="39"/>
        <v>0</v>
      </c>
      <c r="N203" s="44">
        <f t="shared" si="39"/>
        <v>0</v>
      </c>
      <c r="O203" s="44">
        <f t="shared" si="28"/>
        <v>191000</v>
      </c>
    </row>
    <row r="204" spans="1:15" s="12" customFormat="1" ht="15" customHeight="1">
      <c r="A204" s="58" t="s">
        <v>529</v>
      </c>
      <c r="B204" s="51" t="s">
        <v>48</v>
      </c>
      <c r="C204" s="55">
        <f>SUM(C205:C210)</f>
        <v>191000</v>
      </c>
      <c r="D204" s="55"/>
      <c r="E204" s="55">
        <f>E210</f>
        <v>35000</v>
      </c>
      <c r="F204" s="55">
        <f aca="true" t="shared" si="40" ref="F204:N204">SUM(F205:F210)</f>
        <v>0</v>
      </c>
      <c r="G204" s="55">
        <f t="shared" si="40"/>
        <v>0</v>
      </c>
      <c r="H204" s="55">
        <f t="shared" si="40"/>
        <v>0</v>
      </c>
      <c r="I204" s="55">
        <f t="shared" si="40"/>
        <v>0</v>
      </c>
      <c r="J204" s="55">
        <f t="shared" si="40"/>
        <v>0</v>
      </c>
      <c r="K204" s="55">
        <f t="shared" si="40"/>
        <v>0</v>
      </c>
      <c r="L204" s="55">
        <f t="shared" si="40"/>
        <v>0</v>
      </c>
      <c r="M204" s="55">
        <f t="shared" si="40"/>
        <v>0</v>
      </c>
      <c r="N204" s="55">
        <f t="shared" si="40"/>
        <v>0</v>
      </c>
      <c r="O204" s="44">
        <f t="shared" si="28"/>
        <v>191000</v>
      </c>
    </row>
    <row r="205" spans="1:15" s="12" customFormat="1" ht="30" customHeight="1">
      <c r="A205" s="126" t="s">
        <v>530</v>
      </c>
      <c r="B205" s="51" t="s">
        <v>250</v>
      </c>
      <c r="C205" s="55">
        <v>111000</v>
      </c>
      <c r="D205" s="55"/>
      <c r="E205" s="55"/>
      <c r="F205" s="56"/>
      <c r="G205" s="55"/>
      <c r="H205" s="55"/>
      <c r="I205" s="56"/>
      <c r="J205" s="56"/>
      <c r="K205" s="55"/>
      <c r="L205" s="56"/>
      <c r="M205" s="55"/>
      <c r="N205" s="55"/>
      <c r="O205" s="44">
        <f t="shared" si="28"/>
        <v>111000</v>
      </c>
    </row>
    <row r="206" spans="1:15" s="12" customFormat="1" ht="30" customHeight="1">
      <c r="A206" s="126" t="s">
        <v>531</v>
      </c>
      <c r="B206" s="51" t="s">
        <v>290</v>
      </c>
      <c r="C206" s="55">
        <v>15000</v>
      </c>
      <c r="D206" s="55"/>
      <c r="E206" s="55"/>
      <c r="F206" s="56"/>
      <c r="G206" s="55"/>
      <c r="H206" s="55"/>
      <c r="I206" s="56"/>
      <c r="J206" s="56"/>
      <c r="K206" s="55"/>
      <c r="L206" s="56"/>
      <c r="M206" s="55"/>
      <c r="N206" s="55"/>
      <c r="O206" s="44">
        <f t="shared" si="28"/>
        <v>15000</v>
      </c>
    </row>
    <row r="207" spans="1:15" s="12" customFormat="1" ht="28.5" customHeight="1">
      <c r="A207" s="126" t="s">
        <v>532</v>
      </c>
      <c r="B207" s="51" t="s">
        <v>213</v>
      </c>
      <c r="C207" s="55">
        <v>5000</v>
      </c>
      <c r="D207" s="55"/>
      <c r="E207" s="55"/>
      <c r="F207" s="56"/>
      <c r="G207" s="55"/>
      <c r="H207" s="55"/>
      <c r="I207" s="56"/>
      <c r="J207" s="56"/>
      <c r="K207" s="55"/>
      <c r="L207" s="56"/>
      <c r="M207" s="55"/>
      <c r="N207" s="55"/>
      <c r="O207" s="44">
        <f t="shared" si="28"/>
        <v>5000</v>
      </c>
    </row>
    <row r="208" spans="1:15" s="12" customFormat="1" ht="15" customHeight="1">
      <c r="A208" s="126" t="s">
        <v>533</v>
      </c>
      <c r="B208" s="51" t="s">
        <v>212</v>
      </c>
      <c r="C208" s="55">
        <v>5000</v>
      </c>
      <c r="D208" s="55"/>
      <c r="E208" s="55"/>
      <c r="F208" s="56"/>
      <c r="G208" s="55"/>
      <c r="H208" s="55"/>
      <c r="I208" s="56"/>
      <c r="J208" s="56"/>
      <c r="K208" s="55"/>
      <c r="L208" s="56"/>
      <c r="M208" s="55"/>
      <c r="N208" s="55"/>
      <c r="O208" s="44">
        <f>C208+F208+I208+L208</f>
        <v>5000</v>
      </c>
    </row>
    <row r="209" spans="1:15" s="12" customFormat="1" ht="15" customHeight="1">
      <c r="A209" s="126" t="s">
        <v>534</v>
      </c>
      <c r="B209" s="51" t="s">
        <v>281</v>
      </c>
      <c r="C209" s="55">
        <v>20000</v>
      </c>
      <c r="D209" s="55"/>
      <c r="E209" s="55"/>
      <c r="F209" s="56"/>
      <c r="G209" s="55"/>
      <c r="H209" s="55"/>
      <c r="I209" s="56"/>
      <c r="J209" s="56"/>
      <c r="K209" s="55"/>
      <c r="L209" s="56"/>
      <c r="M209" s="55"/>
      <c r="N209" s="55"/>
      <c r="O209" s="44">
        <f>C209+F209+I209+L209</f>
        <v>20000</v>
      </c>
    </row>
    <row r="210" spans="1:15" s="12" customFormat="1" ht="15" customHeight="1">
      <c r="A210" s="126" t="s">
        <v>535</v>
      </c>
      <c r="B210" s="51" t="s">
        <v>201</v>
      </c>
      <c r="C210" s="55">
        <v>35000</v>
      </c>
      <c r="D210" s="55"/>
      <c r="E210" s="55">
        <v>35000</v>
      </c>
      <c r="F210" s="56"/>
      <c r="G210" s="55"/>
      <c r="H210" s="55"/>
      <c r="I210" s="56"/>
      <c r="J210" s="56"/>
      <c r="K210" s="55"/>
      <c r="L210" s="56"/>
      <c r="M210" s="55"/>
      <c r="N210" s="55"/>
      <c r="O210" s="44">
        <f>C210+F210+I210+L210</f>
        <v>35000</v>
      </c>
    </row>
    <row r="211" spans="1:15" s="1" customFormat="1" ht="15" customHeight="1">
      <c r="A211" s="113"/>
      <c r="B211" s="201" t="s">
        <v>295</v>
      </c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</row>
    <row r="212" spans="1:15" s="9" customFormat="1" ht="15" customHeight="1">
      <c r="A212" s="46"/>
      <c r="B212" s="100" t="s">
        <v>39</v>
      </c>
      <c r="C212" s="56">
        <f>C213+C251+C250+C249</f>
        <v>3197875</v>
      </c>
      <c r="D212" s="56">
        <f aca="true" t="shared" si="41" ref="D212:O212">D213+D251+D250+D249</f>
        <v>680650</v>
      </c>
      <c r="E212" s="56">
        <f t="shared" si="41"/>
        <v>91400</v>
      </c>
      <c r="F212" s="56">
        <f t="shared" si="41"/>
        <v>1192901</v>
      </c>
      <c r="G212" s="56">
        <f t="shared" si="41"/>
        <v>194000</v>
      </c>
      <c r="H212" s="56">
        <f t="shared" si="41"/>
        <v>106613</v>
      </c>
      <c r="I212" s="56">
        <f t="shared" si="41"/>
        <v>0</v>
      </c>
      <c r="J212" s="56">
        <f t="shared" si="41"/>
        <v>0</v>
      </c>
      <c r="K212" s="56">
        <f t="shared" si="41"/>
        <v>0</v>
      </c>
      <c r="L212" s="56">
        <f>L213+L251+L250+L249</f>
        <v>133060</v>
      </c>
      <c r="M212" s="56">
        <f t="shared" si="41"/>
        <v>47000</v>
      </c>
      <c r="N212" s="56">
        <f t="shared" si="41"/>
        <v>0</v>
      </c>
      <c r="O212" s="56">
        <f t="shared" si="41"/>
        <v>4523836</v>
      </c>
    </row>
    <row r="213" spans="1:15" s="2" customFormat="1" ht="15" customHeight="1">
      <c r="A213" s="44" t="s">
        <v>182</v>
      </c>
      <c r="B213" s="100" t="s">
        <v>52</v>
      </c>
      <c r="C213" s="44">
        <f aca="true" t="shared" si="42" ref="C213:N213">SUM(C214:C248)</f>
        <v>2840575</v>
      </c>
      <c r="D213" s="44">
        <f t="shared" si="42"/>
        <v>517650</v>
      </c>
      <c r="E213" s="44">
        <f t="shared" si="42"/>
        <v>64400</v>
      </c>
      <c r="F213" s="44">
        <f t="shared" si="42"/>
        <v>1032901</v>
      </c>
      <c r="G213" s="44">
        <f t="shared" si="42"/>
        <v>194000</v>
      </c>
      <c r="H213" s="44">
        <f t="shared" si="42"/>
        <v>106613</v>
      </c>
      <c r="I213" s="44">
        <f t="shared" si="42"/>
        <v>0</v>
      </c>
      <c r="J213" s="44">
        <f t="shared" si="42"/>
        <v>0</v>
      </c>
      <c r="K213" s="44">
        <f t="shared" si="42"/>
        <v>0</v>
      </c>
      <c r="L213" s="44">
        <f t="shared" si="42"/>
        <v>0</v>
      </c>
      <c r="M213" s="44">
        <f t="shared" si="42"/>
        <v>0</v>
      </c>
      <c r="N213" s="44">
        <f t="shared" si="42"/>
        <v>0</v>
      </c>
      <c r="O213" s="44">
        <f>SUM(O214:O248)</f>
        <v>3873476</v>
      </c>
    </row>
    <row r="214" spans="1:15" s="12" customFormat="1" ht="14.25" customHeight="1">
      <c r="A214" s="139" t="s">
        <v>275</v>
      </c>
      <c r="B214" s="51" t="s">
        <v>16</v>
      </c>
      <c r="C214" s="55">
        <v>1045000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44">
        <f aca="true" t="shared" si="43" ref="O214:O252">C214+F214+I214+L214</f>
        <v>1045000</v>
      </c>
    </row>
    <row r="215" spans="1:15" s="12" customFormat="1" ht="15.75" customHeight="1">
      <c r="A215" s="139" t="s">
        <v>276</v>
      </c>
      <c r="B215" s="51" t="s">
        <v>218</v>
      </c>
      <c r="C215" s="55">
        <v>25000</v>
      </c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44">
        <f>C215+F215+I215+L215</f>
        <v>25000</v>
      </c>
    </row>
    <row r="216" spans="1:15" s="136" customFormat="1" ht="27.75" customHeight="1">
      <c r="A216" s="139" t="s">
        <v>277</v>
      </c>
      <c r="B216" s="51" t="s">
        <v>45</v>
      </c>
      <c r="C216" s="55">
        <f>260000+10000</f>
        <v>270000</v>
      </c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44">
        <f>C216+F216+I216+L216</f>
        <v>270000</v>
      </c>
    </row>
    <row r="217" spans="1:15" s="12" customFormat="1" ht="14.25" customHeight="1">
      <c r="A217" s="139" t="s">
        <v>278</v>
      </c>
      <c r="B217" s="51" t="s">
        <v>219</v>
      </c>
      <c r="C217" s="55"/>
      <c r="D217" s="55"/>
      <c r="E217" s="55"/>
      <c r="F217" s="55">
        <v>157000</v>
      </c>
      <c r="G217" s="55"/>
      <c r="H217" s="55"/>
      <c r="I217" s="55"/>
      <c r="J217" s="55"/>
      <c r="K217" s="55"/>
      <c r="L217" s="55"/>
      <c r="M217" s="55"/>
      <c r="N217" s="55"/>
      <c r="O217" s="44">
        <f t="shared" si="43"/>
        <v>157000</v>
      </c>
    </row>
    <row r="218" spans="1:15" s="12" customFormat="1" ht="27.75" customHeight="1">
      <c r="A218" s="139" t="s">
        <v>279</v>
      </c>
      <c r="B218" s="51" t="s">
        <v>215</v>
      </c>
      <c r="C218" s="55"/>
      <c r="D218" s="55"/>
      <c r="E218" s="55"/>
      <c r="F218" s="55">
        <v>200</v>
      </c>
      <c r="G218" s="55"/>
      <c r="H218" s="55"/>
      <c r="I218" s="55"/>
      <c r="J218" s="55"/>
      <c r="K218" s="55"/>
      <c r="L218" s="55"/>
      <c r="M218" s="55"/>
      <c r="N218" s="55"/>
      <c r="O218" s="44">
        <f t="shared" si="43"/>
        <v>200</v>
      </c>
    </row>
    <row r="219" spans="1:15" s="12" customFormat="1" ht="15" customHeight="1">
      <c r="A219" s="139" t="s">
        <v>430</v>
      </c>
      <c r="B219" s="51" t="s">
        <v>216</v>
      </c>
      <c r="C219" s="55"/>
      <c r="D219" s="55"/>
      <c r="E219" s="55"/>
      <c r="F219" s="55">
        <v>63000</v>
      </c>
      <c r="G219" s="55"/>
      <c r="H219" s="55"/>
      <c r="I219" s="55"/>
      <c r="J219" s="55"/>
      <c r="K219" s="55"/>
      <c r="L219" s="55"/>
      <c r="M219" s="55"/>
      <c r="N219" s="55"/>
      <c r="O219" s="44">
        <f t="shared" si="43"/>
        <v>63000</v>
      </c>
    </row>
    <row r="220" spans="1:15" s="136" customFormat="1" ht="15" customHeight="1">
      <c r="A220" s="140" t="s">
        <v>536</v>
      </c>
      <c r="B220" s="105" t="s">
        <v>46</v>
      </c>
      <c r="C220" s="133"/>
      <c r="D220" s="133"/>
      <c r="E220" s="133"/>
      <c r="F220" s="133">
        <f>316000-18300</f>
        <v>297700</v>
      </c>
      <c r="G220" s="133"/>
      <c r="H220" s="133"/>
      <c r="I220" s="133"/>
      <c r="J220" s="133"/>
      <c r="K220" s="133"/>
      <c r="L220" s="133"/>
      <c r="M220" s="133"/>
      <c r="N220" s="133"/>
      <c r="O220" s="101">
        <f t="shared" si="43"/>
        <v>297700</v>
      </c>
    </row>
    <row r="221" spans="1:15" s="12" customFormat="1" ht="15" customHeight="1">
      <c r="A221" s="139" t="s">
        <v>537</v>
      </c>
      <c r="B221" s="51" t="s">
        <v>217</v>
      </c>
      <c r="C221" s="55">
        <v>120000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44">
        <f>C221+F221+I221+L221</f>
        <v>120000</v>
      </c>
    </row>
    <row r="222" spans="1:15" s="12" customFormat="1" ht="29.25" customHeight="1">
      <c r="A222" s="139" t="s">
        <v>538</v>
      </c>
      <c r="B222" s="51" t="s">
        <v>256</v>
      </c>
      <c r="C222" s="55"/>
      <c r="D222" s="55"/>
      <c r="E222" s="55"/>
      <c r="F222" s="55">
        <v>173000</v>
      </c>
      <c r="G222" s="55"/>
      <c r="H222" s="55"/>
      <c r="I222" s="55"/>
      <c r="J222" s="55"/>
      <c r="K222" s="55"/>
      <c r="L222" s="55"/>
      <c r="M222" s="55"/>
      <c r="N222" s="55"/>
      <c r="O222" s="44">
        <f>C222+F222+I222+L222</f>
        <v>173000</v>
      </c>
    </row>
    <row r="223" spans="1:15" s="10" customFormat="1" ht="29.25" customHeight="1">
      <c r="A223" s="141" t="s">
        <v>539</v>
      </c>
      <c r="B223" s="142" t="s">
        <v>540</v>
      </c>
      <c r="C223" s="46"/>
      <c r="D223" s="46"/>
      <c r="E223" s="46"/>
      <c r="F223" s="46">
        <v>196800</v>
      </c>
      <c r="G223" s="46">
        <v>194000</v>
      </c>
      <c r="H223" s="46"/>
      <c r="I223" s="46"/>
      <c r="J223" s="46"/>
      <c r="K223" s="46"/>
      <c r="L223" s="46"/>
      <c r="M223" s="46"/>
      <c r="N223" s="46"/>
      <c r="O223" s="44">
        <f>C223+F223+I223+L223</f>
        <v>196800</v>
      </c>
    </row>
    <row r="224" spans="1:15" s="136" customFormat="1" ht="28.5" customHeight="1">
      <c r="A224" s="143" t="s">
        <v>541</v>
      </c>
      <c r="B224" s="144" t="s">
        <v>542</v>
      </c>
      <c r="C224" s="102"/>
      <c r="D224" s="102"/>
      <c r="E224" s="102"/>
      <c r="F224" s="102"/>
      <c r="G224" s="102"/>
      <c r="H224" s="102"/>
      <c r="I224" s="138"/>
      <c r="J224" s="138"/>
      <c r="K224" s="133"/>
      <c r="L224" s="138"/>
      <c r="M224" s="133"/>
      <c r="N224" s="133"/>
      <c r="O224" s="101">
        <f t="shared" si="43"/>
        <v>0</v>
      </c>
    </row>
    <row r="225" spans="1:15" s="12" customFormat="1" ht="29.25" customHeight="1">
      <c r="A225" s="141" t="s">
        <v>543</v>
      </c>
      <c r="B225" s="51" t="s">
        <v>105</v>
      </c>
      <c r="C225" s="55">
        <v>478000</v>
      </c>
      <c r="D225" s="55"/>
      <c r="E225" s="55"/>
      <c r="F225" s="55"/>
      <c r="G225" s="55"/>
      <c r="H225" s="55"/>
      <c r="I225" s="55"/>
      <c r="J225" s="55"/>
      <c r="K225" s="55"/>
      <c r="L225" s="56"/>
      <c r="M225" s="55"/>
      <c r="N225" s="55"/>
      <c r="O225" s="44">
        <f t="shared" si="43"/>
        <v>478000</v>
      </c>
    </row>
    <row r="226" spans="1:15" s="6" customFormat="1" ht="28.5" customHeight="1">
      <c r="A226" s="141" t="s">
        <v>544</v>
      </c>
      <c r="B226" s="51" t="s">
        <v>545</v>
      </c>
      <c r="C226" s="55">
        <v>4100</v>
      </c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4">
        <f t="shared" si="43"/>
        <v>4100</v>
      </c>
    </row>
    <row r="227" spans="1:15" s="6" customFormat="1" ht="28.5" customHeight="1">
      <c r="A227" s="141" t="s">
        <v>546</v>
      </c>
      <c r="B227" s="51" t="s">
        <v>255</v>
      </c>
      <c r="C227" s="46">
        <v>3675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4">
        <f t="shared" si="43"/>
        <v>3675</v>
      </c>
    </row>
    <row r="228" spans="1:15" s="6" customFormat="1" ht="15" customHeight="1">
      <c r="A228" s="141" t="s">
        <v>547</v>
      </c>
      <c r="B228" s="51" t="s">
        <v>283</v>
      </c>
      <c r="C228" s="46">
        <v>3000</v>
      </c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4">
        <f t="shared" si="43"/>
        <v>3000</v>
      </c>
    </row>
    <row r="229" spans="1:15" s="145" customFormat="1" ht="15" customHeight="1">
      <c r="A229" s="143" t="s">
        <v>548</v>
      </c>
      <c r="B229" s="105" t="s">
        <v>284</v>
      </c>
      <c r="C229" s="102">
        <f>75000-800</f>
        <v>74200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01">
        <f t="shared" si="43"/>
        <v>74200</v>
      </c>
    </row>
    <row r="230" spans="1:15" s="12" customFormat="1" ht="15" customHeight="1">
      <c r="A230" s="141" t="s">
        <v>549</v>
      </c>
      <c r="B230" s="51" t="s">
        <v>251</v>
      </c>
      <c r="C230" s="46">
        <v>13000</v>
      </c>
      <c r="D230" s="55"/>
      <c r="E230" s="55"/>
      <c r="F230" s="56"/>
      <c r="G230" s="55"/>
      <c r="H230" s="55"/>
      <c r="I230" s="56"/>
      <c r="J230" s="56"/>
      <c r="K230" s="55"/>
      <c r="L230" s="56"/>
      <c r="M230" s="55"/>
      <c r="N230" s="55"/>
      <c r="O230" s="44">
        <f t="shared" si="43"/>
        <v>13000</v>
      </c>
    </row>
    <row r="231" spans="1:15" s="12" customFormat="1" ht="15" customHeight="1">
      <c r="A231" s="141" t="s">
        <v>550</v>
      </c>
      <c r="B231" s="51" t="s">
        <v>253</v>
      </c>
      <c r="C231" s="55">
        <v>1000</v>
      </c>
      <c r="D231" s="55"/>
      <c r="E231" s="55"/>
      <c r="F231" s="56"/>
      <c r="G231" s="55"/>
      <c r="H231" s="55"/>
      <c r="I231" s="56"/>
      <c r="J231" s="56"/>
      <c r="K231" s="55"/>
      <c r="L231" s="56"/>
      <c r="M231" s="55"/>
      <c r="N231" s="55"/>
      <c r="O231" s="44">
        <f t="shared" si="43"/>
        <v>1000</v>
      </c>
    </row>
    <row r="232" spans="1:15" s="12" customFormat="1" ht="15" customHeight="1">
      <c r="A232" s="141" t="s">
        <v>551</v>
      </c>
      <c r="B232" s="51" t="s">
        <v>285</v>
      </c>
      <c r="C232" s="55">
        <v>19000</v>
      </c>
      <c r="D232" s="55"/>
      <c r="E232" s="55"/>
      <c r="F232" s="56"/>
      <c r="G232" s="55"/>
      <c r="H232" s="55"/>
      <c r="I232" s="56"/>
      <c r="J232" s="56"/>
      <c r="K232" s="55"/>
      <c r="L232" s="56"/>
      <c r="M232" s="55"/>
      <c r="N232" s="55"/>
      <c r="O232" s="44">
        <f t="shared" si="43"/>
        <v>19000</v>
      </c>
    </row>
    <row r="233" spans="1:15" s="6" customFormat="1" ht="29.25" customHeight="1">
      <c r="A233" s="141" t="s">
        <v>552</v>
      </c>
      <c r="B233" s="51" t="s">
        <v>258</v>
      </c>
      <c r="C233" s="55">
        <v>9000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44">
        <f t="shared" si="43"/>
        <v>9000</v>
      </c>
    </row>
    <row r="234" spans="1:15" s="12" customFormat="1" ht="29.25" customHeight="1">
      <c r="A234" s="141" t="s">
        <v>553</v>
      </c>
      <c r="B234" s="109" t="s">
        <v>47</v>
      </c>
      <c r="C234" s="46">
        <v>82000</v>
      </c>
      <c r="D234" s="55"/>
      <c r="E234" s="55"/>
      <c r="F234" s="56"/>
      <c r="G234" s="55"/>
      <c r="H234" s="55"/>
      <c r="I234" s="56"/>
      <c r="J234" s="56"/>
      <c r="K234" s="55"/>
      <c r="L234" s="56"/>
      <c r="M234" s="55"/>
      <c r="N234" s="55"/>
      <c r="O234" s="44">
        <f t="shared" si="43"/>
        <v>82000</v>
      </c>
    </row>
    <row r="235" spans="1:15" s="12" customFormat="1" ht="15" customHeight="1">
      <c r="A235" s="141" t="s">
        <v>554</v>
      </c>
      <c r="B235" s="51" t="s">
        <v>198</v>
      </c>
      <c r="C235" s="146">
        <v>10000</v>
      </c>
      <c r="D235" s="55"/>
      <c r="E235" s="55"/>
      <c r="F235" s="56"/>
      <c r="G235" s="55"/>
      <c r="H235" s="55"/>
      <c r="I235" s="56"/>
      <c r="J235" s="56"/>
      <c r="K235" s="55"/>
      <c r="L235" s="56"/>
      <c r="M235" s="55"/>
      <c r="N235" s="55"/>
      <c r="O235" s="44">
        <f t="shared" si="43"/>
        <v>10000</v>
      </c>
    </row>
    <row r="236" spans="1:15" s="12" customFormat="1" ht="29.25" customHeight="1">
      <c r="A236" s="141" t="s">
        <v>555</v>
      </c>
      <c r="B236" s="51" t="s">
        <v>432</v>
      </c>
      <c r="C236" s="55">
        <v>64400</v>
      </c>
      <c r="D236" s="55"/>
      <c r="E236" s="55">
        <v>64400</v>
      </c>
      <c r="F236" s="56"/>
      <c r="G236" s="55"/>
      <c r="H236" s="55"/>
      <c r="I236" s="56"/>
      <c r="J236" s="56"/>
      <c r="K236" s="55"/>
      <c r="L236" s="56"/>
      <c r="M236" s="55"/>
      <c r="N236" s="55"/>
      <c r="O236" s="44">
        <f t="shared" si="43"/>
        <v>64400</v>
      </c>
    </row>
    <row r="237" spans="1:15" s="136" customFormat="1" ht="15" customHeight="1">
      <c r="A237" s="143" t="s">
        <v>556</v>
      </c>
      <c r="B237" s="105" t="s">
        <v>433</v>
      </c>
      <c r="C237" s="133">
        <f>48000+800</f>
        <v>48800</v>
      </c>
      <c r="D237" s="133"/>
      <c r="E237" s="133"/>
      <c r="F237" s="138"/>
      <c r="G237" s="133"/>
      <c r="H237" s="133"/>
      <c r="I237" s="138"/>
      <c r="J237" s="138"/>
      <c r="K237" s="133"/>
      <c r="L237" s="138"/>
      <c r="M237" s="133"/>
      <c r="N237" s="133"/>
      <c r="O237" s="101">
        <f t="shared" si="43"/>
        <v>48800</v>
      </c>
    </row>
    <row r="238" spans="1:15" s="12" customFormat="1" ht="30" customHeight="1">
      <c r="A238" s="141" t="s">
        <v>557</v>
      </c>
      <c r="B238" s="51" t="s">
        <v>558</v>
      </c>
      <c r="C238" s="55">
        <v>83700</v>
      </c>
      <c r="D238" s="55">
        <v>82500</v>
      </c>
      <c r="E238" s="55"/>
      <c r="F238" s="56"/>
      <c r="G238" s="55"/>
      <c r="H238" s="55"/>
      <c r="I238" s="56"/>
      <c r="J238" s="56"/>
      <c r="K238" s="55"/>
      <c r="L238" s="56"/>
      <c r="M238" s="55"/>
      <c r="N238" s="55"/>
      <c r="O238" s="44">
        <f t="shared" si="43"/>
        <v>83700</v>
      </c>
    </row>
    <row r="239" spans="1:15" s="12" customFormat="1" ht="29.25" customHeight="1">
      <c r="A239" s="141" t="s">
        <v>559</v>
      </c>
      <c r="B239" s="107" t="s">
        <v>560</v>
      </c>
      <c r="C239" s="55">
        <v>76900</v>
      </c>
      <c r="D239" s="55">
        <v>75800</v>
      </c>
      <c r="E239" s="55"/>
      <c r="F239" s="56"/>
      <c r="G239" s="55"/>
      <c r="H239" s="55"/>
      <c r="I239" s="56"/>
      <c r="J239" s="56"/>
      <c r="K239" s="55"/>
      <c r="L239" s="56"/>
      <c r="M239" s="55"/>
      <c r="N239" s="55"/>
      <c r="O239" s="44">
        <f t="shared" si="43"/>
        <v>76900</v>
      </c>
    </row>
    <row r="240" spans="1:15" s="12" customFormat="1" ht="29.25" customHeight="1">
      <c r="A240" s="141" t="s">
        <v>561</v>
      </c>
      <c r="B240" s="51" t="s">
        <v>254</v>
      </c>
      <c r="C240" s="55">
        <v>144000</v>
      </c>
      <c r="D240" s="55">
        <v>142000</v>
      </c>
      <c r="E240" s="55"/>
      <c r="F240" s="56"/>
      <c r="G240" s="55"/>
      <c r="H240" s="55"/>
      <c r="I240" s="56"/>
      <c r="J240" s="56"/>
      <c r="K240" s="55"/>
      <c r="L240" s="56"/>
      <c r="M240" s="55"/>
      <c r="N240" s="55"/>
      <c r="O240" s="44">
        <f t="shared" si="43"/>
        <v>144000</v>
      </c>
    </row>
    <row r="241" spans="1:15" s="12" customFormat="1" ht="43.5" customHeight="1">
      <c r="A241" s="141" t="s">
        <v>562</v>
      </c>
      <c r="B241" s="51" t="s">
        <v>252</v>
      </c>
      <c r="C241" s="55">
        <v>44400</v>
      </c>
      <c r="D241" s="55">
        <v>40600</v>
      </c>
      <c r="E241" s="55"/>
      <c r="F241" s="56"/>
      <c r="G241" s="55"/>
      <c r="H241" s="55"/>
      <c r="I241" s="56"/>
      <c r="J241" s="56"/>
      <c r="K241" s="55"/>
      <c r="L241" s="56"/>
      <c r="M241" s="55"/>
      <c r="N241" s="55"/>
      <c r="O241" s="44">
        <f t="shared" si="43"/>
        <v>44400</v>
      </c>
    </row>
    <row r="242" spans="1:15" s="12" customFormat="1" ht="44.25" customHeight="1">
      <c r="A242" s="141" t="s">
        <v>563</v>
      </c>
      <c r="B242" s="51" t="s">
        <v>300</v>
      </c>
      <c r="C242" s="55">
        <v>156200</v>
      </c>
      <c r="D242" s="55">
        <v>146400</v>
      </c>
      <c r="E242" s="55"/>
      <c r="F242" s="56"/>
      <c r="G242" s="55"/>
      <c r="H242" s="55"/>
      <c r="I242" s="56"/>
      <c r="J242" s="56"/>
      <c r="K242" s="55"/>
      <c r="L242" s="56"/>
      <c r="M242" s="55"/>
      <c r="N242" s="55"/>
      <c r="O242" s="44">
        <f t="shared" si="43"/>
        <v>156200</v>
      </c>
    </row>
    <row r="243" spans="1:15" s="12" customFormat="1" ht="45.75" customHeight="1">
      <c r="A243" s="141" t="s">
        <v>564</v>
      </c>
      <c r="B243" s="51" t="s">
        <v>263</v>
      </c>
      <c r="C243" s="55">
        <v>33200</v>
      </c>
      <c r="D243" s="55">
        <v>30350</v>
      </c>
      <c r="E243" s="55"/>
      <c r="F243" s="56"/>
      <c r="G243" s="55"/>
      <c r="H243" s="55"/>
      <c r="I243" s="56"/>
      <c r="J243" s="56"/>
      <c r="K243" s="55"/>
      <c r="L243" s="56"/>
      <c r="M243" s="55"/>
      <c r="N243" s="55"/>
      <c r="O243" s="44">
        <f t="shared" si="43"/>
        <v>33200</v>
      </c>
    </row>
    <row r="244" spans="1:15" s="12" customFormat="1" ht="31.5" customHeight="1">
      <c r="A244" s="141" t="s">
        <v>565</v>
      </c>
      <c r="B244" s="51" t="s">
        <v>257</v>
      </c>
      <c r="C244" s="55">
        <v>7000</v>
      </c>
      <c r="D244" s="55"/>
      <c r="E244" s="55"/>
      <c r="F244" s="56"/>
      <c r="G244" s="55"/>
      <c r="H244" s="55"/>
      <c r="I244" s="56"/>
      <c r="J244" s="56"/>
      <c r="K244" s="55"/>
      <c r="L244" s="56"/>
      <c r="M244" s="55"/>
      <c r="N244" s="55"/>
      <c r="O244" s="44">
        <f t="shared" si="43"/>
        <v>7000</v>
      </c>
    </row>
    <row r="245" spans="1:15" s="12" customFormat="1" ht="42.75" customHeight="1">
      <c r="A245" s="141" t="s">
        <v>566</v>
      </c>
      <c r="B245" s="51" t="s">
        <v>567</v>
      </c>
      <c r="C245" s="55">
        <v>25000</v>
      </c>
      <c r="D245" s="55"/>
      <c r="E245" s="55"/>
      <c r="F245" s="56"/>
      <c r="G245" s="55"/>
      <c r="H245" s="55"/>
      <c r="I245" s="56"/>
      <c r="J245" s="56"/>
      <c r="K245" s="55"/>
      <c r="L245" s="56"/>
      <c r="M245" s="55"/>
      <c r="N245" s="55"/>
      <c r="O245" s="44">
        <f t="shared" si="43"/>
        <v>25000</v>
      </c>
    </row>
    <row r="246" spans="1:15" s="136" customFormat="1" ht="42.75" customHeight="1">
      <c r="A246" s="143" t="s">
        <v>568</v>
      </c>
      <c r="B246" s="105" t="s">
        <v>569</v>
      </c>
      <c r="C246" s="133"/>
      <c r="D246" s="133"/>
      <c r="E246" s="133"/>
      <c r="F246" s="133">
        <f>20158+36829</f>
        <v>56987</v>
      </c>
      <c r="G246" s="133"/>
      <c r="H246" s="133">
        <f>20158+36829</f>
        <v>56987</v>
      </c>
      <c r="I246" s="138"/>
      <c r="J246" s="138"/>
      <c r="K246" s="133"/>
      <c r="L246" s="138"/>
      <c r="M246" s="133"/>
      <c r="N246" s="133"/>
      <c r="O246" s="101">
        <f t="shared" si="43"/>
        <v>56987</v>
      </c>
    </row>
    <row r="247" spans="1:15" s="136" customFormat="1" ht="28.5" customHeight="1">
      <c r="A247" s="143" t="s">
        <v>570</v>
      </c>
      <c r="B247" s="105" t="s">
        <v>571</v>
      </c>
      <c r="C247" s="133"/>
      <c r="D247" s="133"/>
      <c r="E247" s="133"/>
      <c r="F247" s="133">
        <f>17606+20982</f>
        <v>38588</v>
      </c>
      <c r="G247" s="133"/>
      <c r="H247" s="133"/>
      <c r="I247" s="138"/>
      <c r="J247" s="138"/>
      <c r="K247" s="133"/>
      <c r="L247" s="138"/>
      <c r="M247" s="133"/>
      <c r="N247" s="133"/>
      <c r="O247" s="101">
        <f t="shared" si="43"/>
        <v>38588</v>
      </c>
    </row>
    <row r="248" spans="1:15" s="136" customFormat="1" ht="29.25" customHeight="1">
      <c r="A248" s="143" t="s">
        <v>572</v>
      </c>
      <c r="B248" s="105" t="s">
        <v>434</v>
      </c>
      <c r="C248" s="133"/>
      <c r="D248" s="133"/>
      <c r="E248" s="133"/>
      <c r="F248" s="133">
        <f>25819+23807</f>
        <v>49626</v>
      </c>
      <c r="G248" s="133"/>
      <c r="H248" s="133">
        <f>25819+23807</f>
        <v>49626</v>
      </c>
      <c r="I248" s="138"/>
      <c r="J248" s="138"/>
      <c r="K248" s="133"/>
      <c r="L248" s="138"/>
      <c r="M248" s="133"/>
      <c r="N248" s="133"/>
      <c r="O248" s="101">
        <f t="shared" si="43"/>
        <v>49626</v>
      </c>
    </row>
    <row r="249" spans="1:15" s="6" customFormat="1" ht="16.5" customHeight="1">
      <c r="A249" s="44" t="s">
        <v>183</v>
      </c>
      <c r="B249" s="100" t="s">
        <v>15</v>
      </c>
      <c r="C249" s="44">
        <f>160300+5000</f>
        <v>165300</v>
      </c>
      <c r="D249" s="44">
        <f>158000+5000</f>
        <v>163000</v>
      </c>
      <c r="E249" s="44"/>
      <c r="F249" s="44"/>
      <c r="G249" s="44"/>
      <c r="H249" s="44"/>
      <c r="I249" s="44"/>
      <c r="J249" s="44"/>
      <c r="K249" s="44"/>
      <c r="L249" s="44">
        <f>60+132000</f>
        <v>132060</v>
      </c>
      <c r="M249" s="44">
        <v>47000</v>
      </c>
      <c r="N249" s="44"/>
      <c r="O249" s="44">
        <f t="shared" si="43"/>
        <v>297360</v>
      </c>
    </row>
    <row r="250" spans="1:15" s="6" customFormat="1" ht="16.5" customHeight="1">
      <c r="A250" s="101" t="s">
        <v>184</v>
      </c>
      <c r="B250" s="147" t="s">
        <v>573</v>
      </c>
      <c r="C250" s="44">
        <v>177000</v>
      </c>
      <c r="D250" s="44"/>
      <c r="E250" s="44">
        <v>27000</v>
      </c>
      <c r="F250" s="101">
        <v>11000</v>
      </c>
      <c r="G250" s="44"/>
      <c r="H250" s="44"/>
      <c r="I250" s="44"/>
      <c r="J250" s="44"/>
      <c r="K250" s="44"/>
      <c r="L250" s="44">
        <v>1000</v>
      </c>
      <c r="M250" s="44"/>
      <c r="N250" s="44"/>
      <c r="O250" s="101">
        <f t="shared" si="43"/>
        <v>189000</v>
      </c>
    </row>
    <row r="251" spans="1:15" s="12" customFormat="1" ht="31.5" customHeight="1">
      <c r="A251" s="44" t="s">
        <v>230</v>
      </c>
      <c r="B251" s="100" t="s">
        <v>29</v>
      </c>
      <c r="C251" s="56">
        <f>SUM(C252)</f>
        <v>15000</v>
      </c>
      <c r="D251" s="55"/>
      <c r="E251" s="55"/>
      <c r="F251" s="56">
        <f>SUM(F252)</f>
        <v>149000</v>
      </c>
      <c r="G251" s="55"/>
      <c r="H251" s="55"/>
      <c r="I251" s="56"/>
      <c r="J251" s="56"/>
      <c r="K251" s="55"/>
      <c r="L251" s="56"/>
      <c r="M251" s="55"/>
      <c r="N251" s="55"/>
      <c r="O251" s="44">
        <f t="shared" si="43"/>
        <v>164000</v>
      </c>
    </row>
    <row r="252" spans="1:15" s="13" customFormat="1" ht="16.5" customHeight="1">
      <c r="A252" s="108" t="s">
        <v>574</v>
      </c>
      <c r="B252" s="109" t="s">
        <v>435</v>
      </c>
      <c r="C252" s="55">
        <v>15000</v>
      </c>
      <c r="D252" s="109"/>
      <c r="E252" s="55"/>
      <c r="F252" s="55">
        <v>149000</v>
      </c>
      <c r="G252" s="55"/>
      <c r="H252" s="55"/>
      <c r="I252" s="109"/>
      <c r="J252" s="109"/>
      <c r="K252" s="109"/>
      <c r="L252" s="109"/>
      <c r="M252" s="109"/>
      <c r="N252" s="109"/>
      <c r="O252" s="44">
        <f t="shared" si="43"/>
        <v>164000</v>
      </c>
    </row>
    <row r="253" spans="1:15" s="9" customFormat="1" ht="18" customHeight="1">
      <c r="A253" s="148"/>
      <c r="B253" s="61" t="s">
        <v>31</v>
      </c>
      <c r="C253" s="62">
        <f aca="true" t="shared" si="44" ref="C253:O253">C15+C49+C55+C65+C104+C127+C157+C212</f>
        <v>15888600</v>
      </c>
      <c r="D253" s="62">
        <f t="shared" si="44"/>
        <v>8678375</v>
      </c>
      <c r="E253" s="62">
        <f t="shared" si="44"/>
        <v>565725</v>
      </c>
      <c r="F253" s="62">
        <f t="shared" si="44"/>
        <v>4534103</v>
      </c>
      <c r="G253" s="62">
        <f t="shared" si="44"/>
        <v>1089021</v>
      </c>
      <c r="H253" s="62">
        <f t="shared" si="44"/>
        <v>1939308</v>
      </c>
      <c r="I253" s="62">
        <f t="shared" si="44"/>
        <v>7413200</v>
      </c>
      <c r="J253" s="62">
        <f t="shared" si="44"/>
        <v>5843430</v>
      </c>
      <c r="K253" s="62">
        <f t="shared" si="44"/>
        <v>947309</v>
      </c>
      <c r="L253" s="62">
        <f t="shared" si="44"/>
        <v>1488997</v>
      </c>
      <c r="M253" s="62">
        <f t="shared" si="44"/>
        <v>70000</v>
      </c>
      <c r="N253" s="62">
        <f t="shared" si="44"/>
        <v>6900</v>
      </c>
      <c r="O253" s="62">
        <f t="shared" si="44"/>
        <v>29324900</v>
      </c>
    </row>
    <row r="254" spans="1:15" s="12" customFormat="1" ht="31.5" customHeight="1">
      <c r="A254" s="44" t="s">
        <v>185</v>
      </c>
      <c r="B254" s="100" t="s">
        <v>29</v>
      </c>
      <c r="C254" s="56">
        <f>SUM(C255)</f>
        <v>746200</v>
      </c>
      <c r="D254" s="55"/>
      <c r="E254" s="55"/>
      <c r="F254" s="56">
        <f>SUM(F255)</f>
        <v>0</v>
      </c>
      <c r="G254" s="55"/>
      <c r="H254" s="55"/>
      <c r="I254" s="56"/>
      <c r="J254" s="56"/>
      <c r="K254" s="55"/>
      <c r="L254" s="56"/>
      <c r="M254" s="55"/>
      <c r="N254" s="55"/>
      <c r="O254" s="44">
        <f>C254+F254+I254+L254</f>
        <v>746200</v>
      </c>
    </row>
    <row r="255" spans="1:15" s="9" customFormat="1" ht="18" customHeight="1">
      <c r="A255" s="149" t="s">
        <v>282</v>
      </c>
      <c r="B255" s="109" t="s">
        <v>286</v>
      </c>
      <c r="C255" s="46">
        <f>746200</f>
        <v>746200</v>
      </c>
      <c r="D255" s="48"/>
      <c r="E255" s="46"/>
      <c r="F255" s="48"/>
      <c r="G255" s="48"/>
      <c r="H255" s="48"/>
      <c r="I255" s="48"/>
      <c r="J255" s="48"/>
      <c r="K255" s="48"/>
      <c r="L255" s="48"/>
      <c r="M255" s="48"/>
      <c r="N255" s="48"/>
      <c r="O255" s="44">
        <f>C255+F255+I255+L255</f>
        <v>746200</v>
      </c>
    </row>
    <row r="256" spans="1:12" s="115" customFormat="1" ht="15" customHeight="1">
      <c r="A256" s="116"/>
      <c r="B256" s="150"/>
      <c r="C256" s="151"/>
      <c r="F256" s="151"/>
      <c r="I256" s="151"/>
      <c r="J256" s="151"/>
      <c r="L256" s="151"/>
    </row>
    <row r="257" spans="1:12" s="115" customFormat="1" ht="15" customHeight="1">
      <c r="A257" s="116"/>
      <c r="B257" s="150"/>
      <c r="C257" s="151"/>
      <c r="F257" s="151"/>
      <c r="I257" s="151"/>
      <c r="J257" s="151"/>
      <c r="L257" s="151"/>
    </row>
    <row r="259" spans="5:9" ht="15" customHeight="1">
      <c r="E259" s="154"/>
      <c r="F259" s="155"/>
      <c r="G259" s="154"/>
      <c r="H259" s="154"/>
      <c r="I259" s="155"/>
    </row>
  </sheetData>
  <sheetProtection/>
  <mergeCells count="32">
    <mergeCell ref="B126:O126"/>
    <mergeCell ref="B156:O156"/>
    <mergeCell ref="B211:O211"/>
    <mergeCell ref="B7:K7"/>
    <mergeCell ref="A9:A12"/>
    <mergeCell ref="B9:B12"/>
    <mergeCell ref="C9:E9"/>
    <mergeCell ref="F9:H9"/>
    <mergeCell ref="I9:K9"/>
    <mergeCell ref="D11:D12"/>
    <mergeCell ref="C10:C12"/>
    <mergeCell ref="D10:E10"/>
    <mergeCell ref="F10:F12"/>
    <mergeCell ref="G10:H10"/>
    <mergeCell ref="I10:I12"/>
    <mergeCell ref="J10:K10"/>
    <mergeCell ref="M11:M12"/>
    <mergeCell ref="N11:N12"/>
    <mergeCell ref="E11:E12"/>
    <mergeCell ref="G11:G12"/>
    <mergeCell ref="L9:N9"/>
    <mergeCell ref="O9:O12"/>
    <mergeCell ref="B14:O14"/>
    <mergeCell ref="H11:H12"/>
    <mergeCell ref="B48:O48"/>
    <mergeCell ref="B54:O54"/>
    <mergeCell ref="B64:O64"/>
    <mergeCell ref="B103:O103"/>
    <mergeCell ref="L10:L12"/>
    <mergeCell ref="M10:N10"/>
    <mergeCell ref="J11:J12"/>
    <mergeCell ref="K11:K12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28125" style="18" customWidth="1"/>
    <col min="2" max="2" width="65.7109375" style="0" customWidth="1"/>
    <col min="3" max="3" width="15.8515625" style="0" customWidth="1"/>
    <col min="4" max="4" width="3.7109375" style="0" customWidth="1"/>
  </cols>
  <sheetData>
    <row r="1" spans="1:5" ht="15.75">
      <c r="A1" s="156"/>
      <c r="B1" s="190" t="s">
        <v>304</v>
      </c>
      <c r="C1" s="190"/>
      <c r="D1" s="2"/>
      <c r="E1" s="2"/>
    </row>
    <row r="2" spans="1:5" ht="15.75">
      <c r="A2" s="156"/>
      <c r="B2" s="190" t="s">
        <v>576</v>
      </c>
      <c r="C2" s="190"/>
      <c r="D2" s="2"/>
      <c r="E2" s="2"/>
    </row>
    <row r="3" spans="1:5" ht="15.75">
      <c r="A3" s="156"/>
      <c r="B3" s="19" t="s">
        <v>577</v>
      </c>
      <c r="C3" s="19"/>
      <c r="D3" s="2"/>
      <c r="E3" s="2"/>
    </row>
    <row r="4" spans="1:5" ht="15.75">
      <c r="A4" s="156"/>
      <c r="B4" s="19" t="s">
        <v>362</v>
      </c>
      <c r="C4" s="20"/>
      <c r="D4" s="2"/>
      <c r="E4" s="2"/>
    </row>
    <row r="5" spans="1:5" ht="15.75">
      <c r="A5" s="156"/>
      <c r="B5" s="20"/>
      <c r="C5" s="20"/>
      <c r="D5" s="2"/>
      <c r="E5" s="2"/>
    </row>
    <row r="6" spans="1:3" ht="14.25">
      <c r="A6" s="156"/>
      <c r="B6" s="77"/>
      <c r="C6" s="77"/>
    </row>
    <row r="7" spans="1:3" ht="15.75">
      <c r="A7" s="191" t="s">
        <v>363</v>
      </c>
      <c r="B7" s="191"/>
      <c r="C7" s="191"/>
    </row>
    <row r="8" spans="1:3" ht="15.75">
      <c r="A8" s="191" t="s">
        <v>364</v>
      </c>
      <c r="B8" s="191"/>
      <c r="C8" s="191"/>
    </row>
    <row r="9" ht="7.5" customHeight="1">
      <c r="A9" s="156"/>
    </row>
    <row r="10" ht="14.25">
      <c r="A10" s="156"/>
    </row>
    <row r="11" spans="1:3" ht="15" customHeight="1">
      <c r="A11" s="207" t="s">
        <v>54</v>
      </c>
      <c r="B11" s="207" t="s">
        <v>365</v>
      </c>
      <c r="C11" s="207" t="s">
        <v>366</v>
      </c>
    </row>
    <row r="12" spans="1:3" ht="18.75" customHeight="1">
      <c r="A12" s="208"/>
      <c r="B12" s="208"/>
      <c r="C12" s="208"/>
    </row>
    <row r="13" spans="1:3" s="17" customFormat="1" ht="17.25" customHeight="1">
      <c r="A13" s="74" t="s">
        <v>67</v>
      </c>
      <c r="B13" s="157" t="s">
        <v>578</v>
      </c>
      <c r="C13" s="158">
        <f>SUM(C14:C32)</f>
        <v>1610319</v>
      </c>
    </row>
    <row r="14" spans="1:3" s="17" customFormat="1" ht="17.25" customHeight="1">
      <c r="A14" s="64" t="s">
        <v>308</v>
      </c>
      <c r="B14" s="70" t="s">
        <v>367</v>
      </c>
      <c r="C14" s="65">
        <v>500</v>
      </c>
    </row>
    <row r="15" spans="1:3" s="17" customFormat="1" ht="17.25" customHeight="1">
      <c r="A15" s="64" t="s">
        <v>310</v>
      </c>
      <c r="B15" s="70" t="s">
        <v>368</v>
      </c>
      <c r="C15" s="65">
        <v>600</v>
      </c>
    </row>
    <row r="16" spans="1:3" s="17" customFormat="1" ht="17.25" customHeight="1">
      <c r="A16" s="64" t="s">
        <v>312</v>
      </c>
      <c r="B16" s="70" t="s">
        <v>369</v>
      </c>
      <c r="C16" s="65">
        <v>23400</v>
      </c>
    </row>
    <row r="17" spans="1:3" s="17" customFormat="1" ht="17.25" customHeight="1">
      <c r="A17" s="64" t="s">
        <v>314</v>
      </c>
      <c r="B17" s="70" t="s">
        <v>370</v>
      </c>
      <c r="C17" s="69">
        <v>8100</v>
      </c>
    </row>
    <row r="18" spans="1:3" s="17" customFormat="1" ht="17.25" customHeight="1">
      <c r="A18" s="64" t="s">
        <v>315</v>
      </c>
      <c r="B18" s="70" t="s">
        <v>371</v>
      </c>
      <c r="C18" s="69">
        <v>23700</v>
      </c>
    </row>
    <row r="19" spans="1:3" s="17" customFormat="1" ht="17.25" customHeight="1">
      <c r="A19" s="64" t="s">
        <v>317</v>
      </c>
      <c r="B19" s="70" t="s">
        <v>372</v>
      </c>
      <c r="C19" s="69">
        <v>9200</v>
      </c>
    </row>
    <row r="20" spans="1:3" s="17" customFormat="1" ht="17.25" customHeight="1">
      <c r="A20" s="64" t="s">
        <v>319</v>
      </c>
      <c r="B20" s="71" t="s">
        <v>373</v>
      </c>
      <c r="C20" s="69">
        <v>3720</v>
      </c>
    </row>
    <row r="21" spans="1:3" s="17" customFormat="1" ht="17.25" customHeight="1">
      <c r="A21" s="64" t="s">
        <v>321</v>
      </c>
      <c r="B21" s="65" t="s">
        <v>374</v>
      </c>
      <c r="C21" s="69">
        <v>7100</v>
      </c>
    </row>
    <row r="22" spans="1:3" s="17" customFormat="1" ht="17.25" customHeight="1">
      <c r="A22" s="64" t="s">
        <v>322</v>
      </c>
      <c r="B22" s="70" t="s">
        <v>375</v>
      </c>
      <c r="C22" s="69">
        <v>19600</v>
      </c>
    </row>
    <row r="23" spans="1:3" s="17" customFormat="1" ht="17.25" customHeight="1">
      <c r="A23" s="64" t="s">
        <v>579</v>
      </c>
      <c r="B23" s="70" t="s">
        <v>377</v>
      </c>
      <c r="C23" s="65">
        <v>177100</v>
      </c>
    </row>
    <row r="24" spans="1:3" s="17" customFormat="1" ht="17.25" customHeight="1">
      <c r="A24" s="64" t="s">
        <v>580</v>
      </c>
      <c r="B24" s="70" t="s">
        <v>378</v>
      </c>
      <c r="C24" s="65">
        <v>257000</v>
      </c>
    </row>
    <row r="25" spans="1:3" s="17" customFormat="1" ht="17.25" customHeight="1">
      <c r="A25" s="64" t="s">
        <v>581</v>
      </c>
      <c r="B25" s="70" t="s">
        <v>582</v>
      </c>
      <c r="C25" s="65">
        <v>6706</v>
      </c>
    </row>
    <row r="26" spans="1:3" s="17" customFormat="1" ht="17.25" customHeight="1">
      <c r="A26" s="64" t="s">
        <v>583</v>
      </c>
      <c r="B26" s="70" t="s">
        <v>381</v>
      </c>
      <c r="C26" s="65">
        <v>160800</v>
      </c>
    </row>
    <row r="27" spans="1:3" s="17" customFormat="1" ht="17.25" customHeight="1">
      <c r="A27" s="64" t="s">
        <v>584</v>
      </c>
      <c r="B27" s="70" t="s">
        <v>382</v>
      </c>
      <c r="C27" s="65">
        <v>13500</v>
      </c>
    </row>
    <row r="28" spans="1:3" ht="17.25" customHeight="1">
      <c r="A28" s="159" t="s">
        <v>585</v>
      </c>
      <c r="B28" s="160" t="s">
        <v>383</v>
      </c>
      <c r="C28" s="161">
        <f>391400-18300</f>
        <v>373100</v>
      </c>
    </row>
    <row r="29" spans="1:3" s="78" customFormat="1" ht="17.25" customHeight="1">
      <c r="A29" s="64" t="s">
        <v>586</v>
      </c>
      <c r="B29" s="72" t="s">
        <v>587</v>
      </c>
      <c r="C29" s="162">
        <v>149000</v>
      </c>
    </row>
    <row r="30" spans="1:3" s="17" customFormat="1" ht="17.25" customHeight="1">
      <c r="A30" s="64" t="s">
        <v>588</v>
      </c>
      <c r="B30" s="70" t="s">
        <v>384</v>
      </c>
      <c r="C30" s="65">
        <v>376000</v>
      </c>
    </row>
    <row r="31" spans="1:3" s="17" customFormat="1" ht="31.5" customHeight="1">
      <c r="A31" s="64" t="s">
        <v>589</v>
      </c>
      <c r="B31" s="70" t="s">
        <v>385</v>
      </c>
      <c r="C31" s="65">
        <v>200</v>
      </c>
    </row>
    <row r="32" spans="1:3" s="17" customFormat="1" ht="17.25" customHeight="1">
      <c r="A32" s="64" t="s">
        <v>590</v>
      </c>
      <c r="B32" s="70" t="s">
        <v>591</v>
      </c>
      <c r="C32" s="65">
        <v>993</v>
      </c>
    </row>
    <row r="33" spans="1:3" s="17" customFormat="1" ht="17.25" customHeight="1">
      <c r="A33" s="163" t="s">
        <v>66</v>
      </c>
      <c r="B33" s="157" t="s">
        <v>210</v>
      </c>
      <c r="C33" s="68">
        <f>SUM(C34:C36)</f>
        <v>262200</v>
      </c>
    </row>
    <row r="34" spans="1:3" s="17" customFormat="1" ht="17.25" customHeight="1">
      <c r="A34" s="64" t="s">
        <v>60</v>
      </c>
      <c r="B34" s="70" t="s">
        <v>592</v>
      </c>
      <c r="C34" s="65">
        <v>32500</v>
      </c>
    </row>
    <row r="35" spans="1:3" s="17" customFormat="1" ht="17.25" customHeight="1">
      <c r="A35" s="64" t="s">
        <v>61</v>
      </c>
      <c r="B35" s="164" t="s">
        <v>379</v>
      </c>
      <c r="C35" s="65">
        <v>152600</v>
      </c>
    </row>
    <row r="36" spans="1:3" s="17" customFormat="1" ht="17.25" customHeight="1">
      <c r="A36" s="64" t="s">
        <v>62</v>
      </c>
      <c r="B36" s="164" t="s">
        <v>380</v>
      </c>
      <c r="C36" s="65">
        <v>77100</v>
      </c>
    </row>
    <row r="37" spans="1:3" s="17" customFormat="1" ht="17.25" customHeight="1">
      <c r="A37" s="163" t="s">
        <v>68</v>
      </c>
      <c r="B37" s="157" t="s">
        <v>153</v>
      </c>
      <c r="C37" s="68">
        <f>SUM(C38)</f>
        <v>446600</v>
      </c>
    </row>
    <row r="38" spans="1:3" s="17" customFormat="1" ht="17.25" customHeight="1">
      <c r="A38" s="64" t="s">
        <v>85</v>
      </c>
      <c r="B38" s="70" t="s">
        <v>376</v>
      </c>
      <c r="C38" s="69">
        <v>446600</v>
      </c>
    </row>
    <row r="39" spans="1:3" s="17" customFormat="1" ht="17.25" customHeight="1">
      <c r="A39" s="163" t="s">
        <v>69</v>
      </c>
      <c r="B39" s="165" t="s">
        <v>573</v>
      </c>
      <c r="C39" s="68">
        <f>SUM(C40)</f>
        <v>11000</v>
      </c>
    </row>
    <row r="40" spans="1:3" s="17" customFormat="1" ht="17.25" customHeight="1">
      <c r="A40" s="64" t="s">
        <v>56</v>
      </c>
      <c r="B40" s="70" t="s">
        <v>602</v>
      </c>
      <c r="C40" s="162">
        <v>11000</v>
      </c>
    </row>
    <row r="41" spans="1:3" ht="17.25" customHeight="1">
      <c r="A41" s="166"/>
      <c r="B41" s="167" t="s">
        <v>386</v>
      </c>
      <c r="C41" s="168">
        <f>SUM(C13,C33,C37,C39)</f>
        <v>2330119</v>
      </c>
    </row>
    <row r="42" spans="1:2" s="10" customFormat="1" ht="15">
      <c r="A42" s="27"/>
      <c r="B42" s="63"/>
    </row>
    <row r="43" spans="1:2" s="9" customFormat="1" ht="15">
      <c r="A43" s="27"/>
      <c r="B43" s="9" t="s">
        <v>387</v>
      </c>
    </row>
    <row r="44" s="9" customFormat="1" ht="15">
      <c r="A44" s="27"/>
    </row>
    <row r="45" s="9" customFormat="1" ht="15">
      <c r="A45" s="27"/>
    </row>
    <row r="46" s="9" customFormat="1" ht="15">
      <c r="A46" s="27"/>
    </row>
    <row r="47" s="9" customFormat="1" ht="15">
      <c r="A47" s="27"/>
    </row>
    <row r="48" s="1" customFormat="1" ht="15.75">
      <c r="A48" s="19"/>
    </row>
    <row r="49" s="2" customFormat="1" ht="15.75">
      <c r="A49" s="19"/>
    </row>
    <row r="50" s="2" customFormat="1" ht="15.75">
      <c r="A50" s="19"/>
    </row>
    <row r="51" spans="1:2" s="1" customFormat="1" ht="15.75">
      <c r="A51" s="19"/>
      <c r="B51" s="28"/>
    </row>
    <row r="52" spans="1:2" s="2" customFormat="1" ht="15.75">
      <c r="A52" s="19"/>
      <c r="B52" s="29"/>
    </row>
    <row r="53" s="2" customFormat="1" ht="15.75">
      <c r="A53" s="19"/>
    </row>
    <row r="54" s="2" customFormat="1" ht="15.75">
      <c r="A54" s="19"/>
    </row>
    <row r="55" s="2" customFormat="1" ht="15.75">
      <c r="A55" s="19"/>
    </row>
    <row r="56" s="2" customFormat="1" ht="15.75">
      <c r="A56" s="19"/>
    </row>
    <row r="57" s="2" customFormat="1" ht="15.75">
      <c r="A57" s="19"/>
    </row>
    <row r="58" s="2" customFormat="1" ht="15.75">
      <c r="A58" s="19"/>
    </row>
    <row r="59" spans="1:2" s="31" customFormat="1" ht="15.75">
      <c r="A59" s="30"/>
      <c r="B59" s="2"/>
    </row>
    <row r="60" s="31" customFormat="1" ht="15">
      <c r="A60" s="30"/>
    </row>
    <row r="61" s="31" customFormat="1" ht="15">
      <c r="A61" s="30"/>
    </row>
  </sheetData>
  <sheetProtection/>
  <mergeCells count="7">
    <mergeCell ref="C11:C12"/>
    <mergeCell ref="B1:C1"/>
    <mergeCell ref="B2:C2"/>
    <mergeCell ref="A8:C8"/>
    <mergeCell ref="A7:C7"/>
    <mergeCell ref="A11:A12"/>
    <mergeCell ref="B11:B12"/>
  </mergeCells>
  <printOptions/>
  <pageMargins left="0.7086614173228347" right="0" top="0.5905511811023623" bottom="0.43307086614173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8.8515625" style="178" customWidth="1"/>
    <col min="2" max="2" width="65.00390625" style="0" customWidth="1"/>
    <col min="3" max="3" width="14.57421875" style="0" customWidth="1"/>
  </cols>
  <sheetData>
    <row r="1" spans="1:5" ht="15.75">
      <c r="A1" s="156"/>
      <c r="B1" s="190" t="s">
        <v>304</v>
      </c>
      <c r="C1" s="190"/>
      <c r="D1" s="2"/>
      <c r="E1" s="2"/>
    </row>
    <row r="2" spans="1:5" ht="15.75">
      <c r="A2" s="156"/>
      <c r="B2" s="190" t="s">
        <v>593</v>
      </c>
      <c r="C2" s="190"/>
      <c r="D2" s="2"/>
      <c r="E2" s="2"/>
    </row>
    <row r="3" spans="1:5" ht="15.75">
      <c r="A3" s="156"/>
      <c r="B3" s="19" t="s">
        <v>577</v>
      </c>
      <c r="C3" s="19"/>
      <c r="D3" s="2"/>
      <c r="E3" s="2"/>
    </row>
    <row r="4" spans="1:5" ht="15.75">
      <c r="A4" s="156"/>
      <c r="B4" s="19" t="s">
        <v>388</v>
      </c>
      <c r="C4" s="20"/>
      <c r="D4" s="2"/>
      <c r="E4" s="2"/>
    </row>
    <row r="5" spans="1:3" ht="14.25">
      <c r="A5" s="156"/>
      <c r="B5" s="77"/>
      <c r="C5" s="77"/>
    </row>
    <row r="6" spans="1:3" ht="14.25">
      <c r="A6" s="156"/>
      <c r="B6" s="77"/>
      <c r="C6" s="77"/>
    </row>
    <row r="7" spans="1:3" ht="35.25" customHeight="1">
      <c r="A7" s="192" t="s">
        <v>389</v>
      </c>
      <c r="B7" s="192"/>
      <c r="C7" s="192"/>
    </row>
    <row r="8" spans="1:3" ht="15.75">
      <c r="A8" s="191"/>
      <c r="B8" s="191"/>
      <c r="C8" s="191"/>
    </row>
    <row r="9" ht="14.25">
      <c r="A9" s="156"/>
    </row>
    <row r="10" ht="14.25">
      <c r="A10" s="156"/>
    </row>
    <row r="11" spans="1:3" ht="15" customHeight="1">
      <c r="A11" s="207" t="s">
        <v>54</v>
      </c>
      <c r="B11" s="207" t="s">
        <v>390</v>
      </c>
      <c r="C11" s="207" t="s">
        <v>203</v>
      </c>
    </row>
    <row r="12" spans="1:3" ht="18.75" customHeight="1">
      <c r="A12" s="208"/>
      <c r="B12" s="208"/>
      <c r="C12" s="208"/>
    </row>
    <row r="13" spans="1:3" ht="19.5" customHeight="1">
      <c r="A13" s="66" t="s">
        <v>67</v>
      </c>
      <c r="B13" s="169" t="s">
        <v>391</v>
      </c>
      <c r="C13" s="188">
        <v>185000</v>
      </c>
    </row>
    <row r="14" spans="1:3" ht="19.5" customHeight="1">
      <c r="A14" s="66" t="s">
        <v>308</v>
      </c>
      <c r="B14" s="169" t="s">
        <v>594</v>
      </c>
      <c r="C14" s="189">
        <v>185000</v>
      </c>
    </row>
    <row r="15" spans="1:3" ht="19.5" customHeight="1">
      <c r="A15" s="66" t="s">
        <v>66</v>
      </c>
      <c r="B15" s="169" t="s">
        <v>392</v>
      </c>
      <c r="C15" s="170">
        <f>C16+C17+C18</f>
        <v>565000</v>
      </c>
    </row>
    <row r="16" spans="1:3" ht="47.25" customHeight="1">
      <c r="A16" s="66" t="s">
        <v>60</v>
      </c>
      <c r="B16" s="169" t="s">
        <v>634</v>
      </c>
      <c r="C16" s="171">
        <f>315000+40000</f>
        <v>355000</v>
      </c>
    </row>
    <row r="17" spans="1:3" ht="32.25" customHeight="1">
      <c r="A17" s="172" t="s">
        <v>61</v>
      </c>
      <c r="B17" s="173" t="s">
        <v>595</v>
      </c>
      <c r="C17" s="171">
        <f>240000-40000-90000</f>
        <v>110000</v>
      </c>
    </row>
    <row r="18" spans="1:3" ht="19.5" customHeight="1">
      <c r="A18" s="66" t="s">
        <v>62</v>
      </c>
      <c r="B18" s="169" t="s">
        <v>596</v>
      </c>
      <c r="C18" s="170">
        <v>100000</v>
      </c>
    </row>
    <row r="19" spans="1:3" s="78" customFormat="1" ht="19.5" customHeight="1">
      <c r="A19" s="174" t="s">
        <v>68</v>
      </c>
      <c r="B19" s="175" t="s">
        <v>635</v>
      </c>
      <c r="C19" s="176">
        <f>SUM(C20)</f>
        <v>50000</v>
      </c>
    </row>
    <row r="20" spans="1:3" s="78" customFormat="1" ht="30.75" customHeight="1">
      <c r="A20" s="174" t="s">
        <v>85</v>
      </c>
      <c r="B20" s="175" t="s">
        <v>636</v>
      </c>
      <c r="C20" s="176">
        <v>50000</v>
      </c>
    </row>
    <row r="21" spans="1:3" s="78" customFormat="1" ht="19.5" customHeight="1">
      <c r="A21" s="174" t="s">
        <v>68</v>
      </c>
      <c r="B21" s="175" t="s">
        <v>393</v>
      </c>
      <c r="C21" s="176">
        <f>SUM(C22:C22)</f>
        <v>40000</v>
      </c>
    </row>
    <row r="22" spans="1:3" ht="31.5" customHeight="1">
      <c r="A22" s="174" t="s">
        <v>85</v>
      </c>
      <c r="B22" s="173" t="s">
        <v>598</v>
      </c>
      <c r="C22" s="171">
        <v>40000</v>
      </c>
    </row>
    <row r="23" spans="1:3" ht="19.5" customHeight="1">
      <c r="A23" s="177"/>
      <c r="B23" s="67" t="s">
        <v>27</v>
      </c>
      <c r="C23" s="68">
        <f>SUM(C13,C15,C19,C21)</f>
        <v>840000</v>
      </c>
    </row>
    <row r="24" spans="1:2" s="10" customFormat="1" ht="15">
      <c r="A24" s="32"/>
      <c r="B24" s="9"/>
    </row>
    <row r="26" ht="12.75">
      <c r="B26" s="18" t="s">
        <v>597</v>
      </c>
    </row>
  </sheetData>
  <sheetProtection/>
  <mergeCells count="7">
    <mergeCell ref="B11:B12"/>
    <mergeCell ref="C11:C12"/>
    <mergeCell ref="B1:C1"/>
    <mergeCell ref="B2:C2"/>
    <mergeCell ref="A7:C7"/>
    <mergeCell ref="A8:C8"/>
    <mergeCell ref="A11:A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8.140625" style="17" customWidth="1"/>
    <col min="2" max="2" width="66.57421875" style="17" customWidth="1"/>
    <col min="3" max="3" width="14.57421875" style="17" customWidth="1"/>
    <col min="4" max="16384" width="9.140625" style="17" customWidth="1"/>
  </cols>
  <sheetData>
    <row r="1" spans="1:5" ht="15.75">
      <c r="A1" s="75"/>
      <c r="B1" s="190" t="s">
        <v>304</v>
      </c>
      <c r="C1" s="190"/>
      <c r="D1" s="2"/>
      <c r="E1" s="2"/>
    </row>
    <row r="2" spans="1:5" ht="15.75">
      <c r="A2" s="75"/>
      <c r="B2" s="190" t="s">
        <v>593</v>
      </c>
      <c r="C2" s="190"/>
      <c r="D2" s="2"/>
      <c r="E2" s="2"/>
    </row>
    <row r="3" spans="1:5" ht="15.75">
      <c r="A3" s="75"/>
      <c r="B3" s="19" t="s">
        <v>577</v>
      </c>
      <c r="C3" s="19"/>
      <c r="D3" s="2"/>
      <c r="E3" s="2"/>
    </row>
    <row r="4" spans="1:5" ht="15.75">
      <c r="A4" s="75"/>
      <c r="B4" s="19" t="s">
        <v>604</v>
      </c>
      <c r="C4" s="20"/>
      <c r="D4" s="2"/>
      <c r="E4" s="2"/>
    </row>
    <row r="5" spans="1:3" ht="14.25">
      <c r="A5" s="75"/>
      <c r="B5" s="77"/>
      <c r="C5" s="77"/>
    </row>
    <row r="6" spans="1:3" ht="14.25">
      <c r="A6" s="75"/>
      <c r="B6" s="77"/>
      <c r="C6" s="77"/>
    </row>
    <row r="7" spans="1:3" ht="15.75">
      <c r="A7" s="191" t="s">
        <v>605</v>
      </c>
      <c r="B7" s="191"/>
      <c r="C7" s="191"/>
    </row>
    <row r="8" spans="1:3" ht="15.75">
      <c r="A8" s="191" t="s">
        <v>606</v>
      </c>
      <c r="B8" s="191"/>
      <c r="C8" s="191"/>
    </row>
    <row r="9" ht="14.25">
      <c r="A9" s="75"/>
    </row>
    <row r="10" ht="14.25">
      <c r="A10" s="75"/>
    </row>
    <row r="11" spans="1:3" ht="15" customHeight="1">
      <c r="A11" s="207" t="s">
        <v>54</v>
      </c>
      <c r="B11" s="207" t="s">
        <v>607</v>
      </c>
      <c r="C11" s="207" t="s">
        <v>203</v>
      </c>
    </row>
    <row r="12" spans="1:3" ht="18.75" customHeight="1">
      <c r="A12" s="208"/>
      <c r="B12" s="208"/>
      <c r="C12" s="208"/>
    </row>
    <row r="13" spans="1:3" s="16" customFormat="1" ht="18.75" customHeight="1">
      <c r="A13" s="179" t="s">
        <v>67</v>
      </c>
      <c r="B13" s="180" t="s">
        <v>608</v>
      </c>
      <c r="C13" s="181">
        <f>SUM(C14:C20,C24:C27)</f>
        <v>229722</v>
      </c>
    </row>
    <row r="14" spans="1:3" ht="18.75" customHeight="1">
      <c r="A14" s="182" t="s">
        <v>308</v>
      </c>
      <c r="B14" s="183" t="s">
        <v>609</v>
      </c>
      <c r="C14" s="40">
        <v>113</v>
      </c>
    </row>
    <row r="15" spans="1:3" ht="18.75" customHeight="1">
      <c r="A15" s="182" t="s">
        <v>310</v>
      </c>
      <c r="B15" s="183" t="s">
        <v>610</v>
      </c>
      <c r="C15" s="40">
        <v>229</v>
      </c>
    </row>
    <row r="16" spans="1:3" ht="18.75" customHeight="1">
      <c r="A16" s="182" t="s">
        <v>312</v>
      </c>
      <c r="B16" s="183" t="s">
        <v>611</v>
      </c>
      <c r="C16" s="40">
        <v>1987</v>
      </c>
    </row>
    <row r="17" spans="1:3" ht="18.75" customHeight="1">
      <c r="A17" s="182" t="s">
        <v>314</v>
      </c>
      <c r="B17" s="183" t="s">
        <v>612</v>
      </c>
      <c r="C17" s="40">
        <v>271</v>
      </c>
    </row>
    <row r="18" spans="1:3" ht="18.75" customHeight="1">
      <c r="A18" s="182" t="s">
        <v>315</v>
      </c>
      <c r="B18" s="183" t="s">
        <v>613</v>
      </c>
      <c r="C18" s="40">
        <v>39236</v>
      </c>
    </row>
    <row r="19" spans="1:3" ht="18.75" customHeight="1">
      <c r="A19" s="182" t="s">
        <v>317</v>
      </c>
      <c r="B19" s="183" t="s">
        <v>614</v>
      </c>
      <c r="C19" s="40">
        <v>36</v>
      </c>
    </row>
    <row r="20" spans="1:3" ht="18.75" customHeight="1">
      <c r="A20" s="182" t="s">
        <v>319</v>
      </c>
      <c r="B20" s="183" t="s">
        <v>615</v>
      </c>
      <c r="C20" s="40">
        <f>SUM(C21:C23)</f>
        <v>12002</v>
      </c>
    </row>
    <row r="21" spans="1:3" ht="18.75" customHeight="1">
      <c r="A21" s="184" t="s">
        <v>616</v>
      </c>
      <c r="B21" s="183" t="s">
        <v>617</v>
      </c>
      <c r="C21" s="40">
        <v>6753</v>
      </c>
    </row>
    <row r="22" spans="1:3" ht="18.75" customHeight="1">
      <c r="A22" s="184" t="s">
        <v>618</v>
      </c>
      <c r="B22" s="183" t="s">
        <v>619</v>
      </c>
      <c r="C22" s="40">
        <v>4777</v>
      </c>
    </row>
    <row r="23" spans="1:3" ht="18.75" customHeight="1">
      <c r="A23" s="184" t="s">
        <v>620</v>
      </c>
      <c r="B23" s="183" t="s">
        <v>621</v>
      </c>
      <c r="C23" s="40">
        <v>472</v>
      </c>
    </row>
    <row r="24" spans="1:3" ht="18.75" customHeight="1">
      <c r="A24" s="182" t="s">
        <v>321</v>
      </c>
      <c r="B24" s="183" t="s">
        <v>622</v>
      </c>
      <c r="C24" s="40">
        <v>43</v>
      </c>
    </row>
    <row r="25" spans="1:3" ht="18.75" customHeight="1">
      <c r="A25" s="182" t="s">
        <v>322</v>
      </c>
      <c r="B25" s="183" t="s">
        <v>623</v>
      </c>
      <c r="C25" s="40">
        <v>4807</v>
      </c>
    </row>
    <row r="26" spans="1:3" ht="18.75" customHeight="1">
      <c r="A26" s="182" t="s">
        <v>579</v>
      </c>
      <c r="B26" s="183" t="s">
        <v>624</v>
      </c>
      <c r="C26" s="40">
        <v>21923</v>
      </c>
    </row>
    <row r="27" spans="1:3" ht="18.75" customHeight="1">
      <c r="A27" s="182" t="s">
        <v>580</v>
      </c>
      <c r="B27" s="183" t="s">
        <v>625</v>
      </c>
      <c r="C27" s="40">
        <v>149075</v>
      </c>
    </row>
    <row r="28" spans="1:3" s="10" customFormat="1" ht="32.25" customHeight="1">
      <c r="A28" s="66" t="s">
        <v>66</v>
      </c>
      <c r="B28" s="72" t="s">
        <v>626</v>
      </c>
      <c r="C28" s="37">
        <v>746200</v>
      </c>
    </row>
    <row r="29" spans="1:3" s="10" customFormat="1" ht="25.5" customHeight="1">
      <c r="A29" s="66" t="s">
        <v>68</v>
      </c>
      <c r="B29" s="72" t="s">
        <v>627</v>
      </c>
      <c r="C29" s="37">
        <f>307078+38800</f>
        <v>345878</v>
      </c>
    </row>
    <row r="30" spans="1:3" s="10" customFormat="1" ht="30.75" customHeight="1">
      <c r="A30" s="66" t="s">
        <v>69</v>
      </c>
      <c r="B30" s="72" t="s">
        <v>628</v>
      </c>
      <c r="C30" s="37">
        <v>110000</v>
      </c>
    </row>
    <row r="31" spans="1:3" s="10" customFormat="1" ht="30" customHeight="1">
      <c r="A31" s="66" t="s">
        <v>70</v>
      </c>
      <c r="B31" s="72" t="s">
        <v>629</v>
      </c>
      <c r="C31" s="37">
        <v>12775</v>
      </c>
    </row>
    <row r="32" spans="1:3" s="10" customFormat="1" ht="30.75" customHeight="1">
      <c r="A32" s="66" t="s">
        <v>71</v>
      </c>
      <c r="B32" s="72" t="s">
        <v>630</v>
      </c>
      <c r="C32" s="37">
        <v>452577</v>
      </c>
    </row>
    <row r="33" spans="1:3" s="10" customFormat="1" ht="24" customHeight="1">
      <c r="A33" s="66" t="s">
        <v>72</v>
      </c>
      <c r="B33" s="72" t="s">
        <v>631</v>
      </c>
      <c r="C33" s="37">
        <v>26896</v>
      </c>
    </row>
    <row r="34" spans="1:3" s="186" customFormat="1" ht="46.5" customHeight="1">
      <c r="A34" s="174" t="s">
        <v>73</v>
      </c>
      <c r="B34" s="185" t="s">
        <v>632</v>
      </c>
      <c r="C34" s="82">
        <v>20000</v>
      </c>
    </row>
    <row r="35" spans="1:3" s="10" customFormat="1" ht="23.25" customHeight="1">
      <c r="A35" s="66"/>
      <c r="B35" s="67" t="s">
        <v>386</v>
      </c>
      <c r="C35" s="67">
        <f>SUM(C13,C28:C34)</f>
        <v>1944048</v>
      </c>
    </row>
    <row r="36" spans="1:2" s="10" customFormat="1" ht="15">
      <c r="A36" s="9"/>
      <c r="B36" s="9"/>
    </row>
    <row r="37" s="9" customFormat="1" ht="15">
      <c r="B37" s="9" t="s">
        <v>387</v>
      </c>
    </row>
    <row r="38" s="9" customFormat="1" ht="15"/>
    <row r="39" s="9" customFormat="1" ht="15"/>
    <row r="40" s="9" customFormat="1" ht="15"/>
    <row r="41" s="9" customFormat="1" ht="15"/>
    <row r="42" s="1" customFormat="1" ht="15.75"/>
    <row r="43" s="2" customFormat="1" ht="15.75"/>
    <row r="44" s="2" customFormat="1" ht="15.75"/>
    <row r="45" s="1" customFormat="1" ht="15.75">
      <c r="B45" s="28"/>
    </row>
    <row r="46" s="2" customFormat="1" ht="15.75">
      <c r="B46" s="29"/>
    </row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31" customFormat="1" ht="15.75">
      <c r="B53" s="2"/>
    </row>
    <row r="54" s="31" customFormat="1" ht="15"/>
    <row r="55" s="31" customFormat="1" ht="15"/>
  </sheetData>
  <sheetProtection/>
  <mergeCells count="7">
    <mergeCell ref="B1:C1"/>
    <mergeCell ref="B2:C2"/>
    <mergeCell ref="A7:C7"/>
    <mergeCell ref="A8:C8"/>
    <mergeCell ref="A11:A12"/>
    <mergeCell ref="B11:B12"/>
    <mergeCell ref="C11:C12"/>
  </mergeCells>
  <printOptions/>
  <pageMargins left="0.7086614173228347" right="0" top="0.6692913385826772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2019-05-15T13:55:04Z</cp:lastPrinted>
  <dcterms:created xsi:type="dcterms:W3CDTF">2001-01-28T19:21:19Z</dcterms:created>
  <dcterms:modified xsi:type="dcterms:W3CDTF">2019-05-24T07:39:36Z</dcterms:modified>
  <cp:category/>
  <cp:version/>
  <cp:contentType/>
  <cp:contentStatus/>
</cp:coreProperties>
</file>